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P:\PAVEMENT\HAMILTON\BUN2COMM.95\DESIGN\Grant Applications\RAISE 2021\Attachments\"/>
    </mc:Choice>
  </mc:AlternateContent>
  <xr:revisionPtr revIDLastSave="0" documentId="13_ncr:1_{D09815D7-92E1-4A20-84D9-987F9B0F228E}" xr6:coauthVersionLast="47" xr6:coauthVersionMax="47" xr10:uidLastSave="{00000000-0000-0000-0000-000000000000}"/>
  <bookViews>
    <workbookView xWindow="28680" yWindow="-120" windowWidth="29040" windowHeight="15840" firstSheet="1" activeTab="8" xr2:uid="{00000000-000D-0000-FFFF-FFFF00000000}"/>
  </bookViews>
  <sheets>
    <sheet name="Discounted BC (20)" sheetId="18" r:id="rId1"/>
    <sheet name="Delay&amp;Pollution" sheetId="19" r:id="rId2"/>
    <sheet name="Safety" sheetId="20" r:id="rId3"/>
    <sheet name="Maintenance" sheetId="21" r:id="rId4"/>
    <sheet name="Road Summary" sheetId="13" r:id="rId5"/>
    <sheet name="Intersection - Bunn" sheetId="14" r:id="rId6"/>
    <sheet name="Roadway Segment" sheetId="15" r:id="rId7"/>
    <sheet name="Intersection - Morrisey" sheetId="16" r:id="rId8"/>
    <sheet name="Rail Crossings" sheetId="1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8" l="1"/>
  <c r="C19" i="2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D17" i="2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43" i="21" s="1"/>
  <c r="D44" i="21" s="1"/>
  <c r="D45" i="21" s="1"/>
  <c r="D46" i="21" s="1"/>
  <c r="D47" i="21" s="1"/>
  <c r="D48" i="21" s="1"/>
  <c r="D49" i="21" s="1"/>
  <c r="D50" i="21" s="1"/>
  <c r="D51" i="21" s="1"/>
  <c r="D52" i="21" s="1"/>
  <c r="D53" i="21" s="1"/>
  <c r="D54" i="21" s="1"/>
  <c r="D55" i="21" s="1"/>
  <c r="D56" i="21" s="1"/>
  <c r="E16" i="2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1" i="21" s="1"/>
  <c r="E42" i="21" s="1"/>
  <c r="E43" i="21" s="1"/>
  <c r="E44" i="21" s="1"/>
  <c r="E45" i="21" s="1"/>
  <c r="E46" i="21" s="1"/>
  <c r="E47" i="21" s="1"/>
  <c r="E48" i="21" s="1"/>
  <c r="E49" i="21" s="1"/>
  <c r="E50" i="21" s="1"/>
  <c r="E51" i="21" s="1"/>
  <c r="E52" i="21" s="1"/>
  <c r="E53" i="21" s="1"/>
  <c r="E54" i="21" s="1"/>
  <c r="E55" i="21" s="1"/>
  <c r="E56" i="21" s="1"/>
  <c r="E10" i="21"/>
  <c r="F29" i="21" s="1"/>
  <c r="E2" i="21"/>
  <c r="D8" i="20"/>
  <c r="G8" i="20" s="1"/>
  <c r="I8" i="20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D6" i="20"/>
  <c r="G6" i="20" s="1"/>
  <c r="I6" i="20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F38" i="19"/>
  <c r="L36" i="19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J36" i="19"/>
  <c r="J37" i="19" s="1"/>
  <c r="J38" i="19" s="1"/>
  <c r="J39" i="19" s="1"/>
  <c r="J40" i="19" s="1"/>
  <c r="J41" i="19" s="1"/>
  <c r="J42" i="19" s="1"/>
  <c r="J43" i="19" s="1"/>
  <c r="J44" i="19" s="1"/>
  <c r="J45" i="19" s="1"/>
  <c r="J46" i="19" s="1"/>
  <c r="J47" i="19" s="1"/>
  <c r="J48" i="19" s="1"/>
  <c r="J49" i="19" s="1"/>
  <c r="J50" i="19" s="1"/>
  <c r="J51" i="19" s="1"/>
  <c r="J52" i="19" s="1"/>
  <c r="J53" i="19" s="1"/>
  <c r="J54" i="19" s="1"/>
  <c r="J55" i="19" s="1"/>
  <c r="F35" i="19"/>
  <c r="G35" i="19" s="1"/>
  <c r="H35" i="19" s="1"/>
  <c r="I24" i="19"/>
  <c r="K24" i="19" s="1"/>
  <c r="C31" i="18" s="1"/>
  <c r="H24" i="19"/>
  <c r="J24" i="19" s="1"/>
  <c r="I23" i="19"/>
  <c r="K23" i="19" s="1"/>
  <c r="C30" i="18" s="1"/>
  <c r="H23" i="19"/>
  <c r="J23" i="19" s="1"/>
  <c r="M22" i="19"/>
  <c r="F29" i="18" s="1"/>
  <c r="I22" i="19"/>
  <c r="K22" i="19" s="1"/>
  <c r="C29" i="18" s="1"/>
  <c r="H22" i="19"/>
  <c r="J22" i="19" s="1"/>
  <c r="L22" i="19" s="1"/>
  <c r="I21" i="19"/>
  <c r="K21" i="19" s="1"/>
  <c r="C28" i="18" s="1"/>
  <c r="H21" i="19"/>
  <c r="J21" i="19" s="1"/>
  <c r="L21" i="19" s="1"/>
  <c r="I20" i="19"/>
  <c r="K20" i="19" s="1"/>
  <c r="C27" i="18" s="1"/>
  <c r="H20" i="19"/>
  <c r="J20" i="19" s="1"/>
  <c r="J19" i="19"/>
  <c r="I19" i="19"/>
  <c r="K19" i="19" s="1"/>
  <c r="C26" i="18" s="1"/>
  <c r="H19" i="19"/>
  <c r="I18" i="19"/>
  <c r="K18" i="19" s="1"/>
  <c r="H18" i="19"/>
  <c r="J18" i="19" s="1"/>
  <c r="M18" i="19" s="1"/>
  <c r="F25" i="18" s="1"/>
  <c r="J17" i="19"/>
  <c r="I17" i="19"/>
  <c r="K17" i="19" s="1"/>
  <c r="C24" i="18" s="1"/>
  <c r="H17" i="19"/>
  <c r="I16" i="19"/>
  <c r="K16" i="19" s="1"/>
  <c r="C23" i="18" s="1"/>
  <c r="H16" i="19"/>
  <c r="J16" i="19" s="1"/>
  <c r="J15" i="19"/>
  <c r="I15" i="19"/>
  <c r="K15" i="19" s="1"/>
  <c r="C22" i="18" s="1"/>
  <c r="H15" i="19"/>
  <c r="I14" i="19"/>
  <c r="K14" i="19" s="1"/>
  <c r="H14" i="19"/>
  <c r="J14" i="19" s="1"/>
  <c r="L14" i="19" s="1"/>
  <c r="E21" i="18" s="1"/>
  <c r="I13" i="19"/>
  <c r="K13" i="19" s="1"/>
  <c r="C20" i="18" s="1"/>
  <c r="H13" i="19"/>
  <c r="J13" i="19" s="1"/>
  <c r="I12" i="19"/>
  <c r="K12" i="19" s="1"/>
  <c r="C19" i="18" s="1"/>
  <c r="H12" i="19"/>
  <c r="J12" i="19" s="1"/>
  <c r="J11" i="19"/>
  <c r="I11" i="19"/>
  <c r="K11" i="19" s="1"/>
  <c r="C18" i="18" s="1"/>
  <c r="H11" i="19"/>
  <c r="M10" i="19"/>
  <c r="F17" i="18" s="1"/>
  <c r="I10" i="19"/>
  <c r="K10" i="19" s="1"/>
  <c r="H10" i="19"/>
  <c r="J10" i="19" s="1"/>
  <c r="I9" i="19"/>
  <c r="K9" i="19" s="1"/>
  <c r="C16" i="18" s="1"/>
  <c r="H9" i="19"/>
  <c r="J9" i="19" s="1"/>
  <c r="M9" i="19" s="1"/>
  <c r="F16" i="18" s="1"/>
  <c r="I8" i="19"/>
  <c r="K8" i="19" s="1"/>
  <c r="C15" i="18" s="1"/>
  <c r="H8" i="19"/>
  <c r="J8" i="19" s="1"/>
  <c r="J7" i="19"/>
  <c r="I7" i="19"/>
  <c r="K7" i="19" s="1"/>
  <c r="C14" i="18" s="1"/>
  <c r="H7" i="19"/>
  <c r="M6" i="19"/>
  <c r="F13" i="18" s="1"/>
  <c r="I6" i="19"/>
  <c r="K6" i="19" s="1"/>
  <c r="H6" i="19"/>
  <c r="J6" i="19" s="1"/>
  <c r="L6" i="19" s="1"/>
  <c r="J5" i="19"/>
  <c r="I5" i="19"/>
  <c r="K5" i="19" s="1"/>
  <c r="H5" i="19"/>
  <c r="C5" i="19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B5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I4" i="19"/>
  <c r="K4" i="19" s="1"/>
  <c r="C11" i="18" s="1"/>
  <c r="H4" i="19"/>
  <c r="J4" i="19" s="1"/>
  <c r="N31" i="18"/>
  <c r="N30" i="18"/>
  <c r="N29" i="18"/>
  <c r="D29" i="18"/>
  <c r="N28" i="18"/>
  <c r="N27" i="18"/>
  <c r="N26" i="18"/>
  <c r="C25" i="18"/>
  <c r="N24" i="18"/>
  <c r="N23" i="18"/>
  <c r="N22" i="18"/>
  <c r="N21" i="18"/>
  <c r="C21" i="18"/>
  <c r="N20" i="18"/>
  <c r="N19" i="18"/>
  <c r="D19" i="18"/>
  <c r="N18" i="18"/>
  <c r="N17" i="18"/>
  <c r="C17" i="18"/>
  <c r="N16" i="18"/>
  <c r="N15" i="18"/>
  <c r="N14" i="18"/>
  <c r="N13" i="18"/>
  <c r="D13" i="18"/>
  <c r="C13" i="18"/>
  <c r="C12" i="18"/>
  <c r="N11" i="18"/>
  <c r="Q10" i="18"/>
  <c r="J10" i="18"/>
  <c r="N10" i="18" s="1"/>
  <c r="R10" i="18" s="1"/>
  <c r="I10" i="18"/>
  <c r="Q9" i="18"/>
  <c r="N9" i="18"/>
  <c r="R9" i="18" s="1"/>
  <c r="J9" i="18"/>
  <c r="I9" i="18"/>
  <c r="A9" i="18"/>
  <c r="A10" i="18" s="1"/>
  <c r="A11" i="18" s="1"/>
  <c r="Q8" i="18"/>
  <c r="J8" i="18"/>
  <c r="N8" i="18" s="1"/>
  <c r="R8" i="18" s="1"/>
  <c r="I8" i="18"/>
  <c r="A8" i="18"/>
  <c r="Q7" i="18"/>
  <c r="J7" i="18"/>
  <c r="N7" i="18" s="1"/>
  <c r="I7" i="18"/>
  <c r="Q6" i="18"/>
  <c r="J6" i="18"/>
  <c r="N6" i="18" s="1"/>
  <c r="I6" i="18"/>
  <c r="Q5" i="18"/>
  <c r="J5" i="18"/>
  <c r="N5" i="18" s="1"/>
  <c r="I5" i="18"/>
  <c r="B5" i="18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Q4" i="18"/>
  <c r="J4" i="18"/>
  <c r="N4" i="18" s="1"/>
  <c r="I4" i="18"/>
  <c r="L13" i="19" l="1"/>
  <c r="D20" i="18"/>
  <c r="R4" i="18"/>
  <c r="D21" i="18"/>
  <c r="M13" i="19"/>
  <c r="F20" i="18" s="1"/>
  <c r="R7" i="18"/>
  <c r="L54" i="19"/>
  <c r="L55" i="19" s="1"/>
  <c r="E29" i="18"/>
  <c r="L5" i="19"/>
  <c r="E12" i="18" s="1"/>
  <c r="D12" i="18"/>
  <c r="I12" i="18" s="1"/>
  <c r="P12" i="18" s="1"/>
  <c r="L20" i="19"/>
  <c r="E27" i="18" s="1"/>
  <c r="D27" i="18"/>
  <c r="M20" i="19"/>
  <c r="F27" i="18" s="1"/>
  <c r="M5" i="19"/>
  <c r="F12" i="18" s="1"/>
  <c r="L10" i="19"/>
  <c r="E17" i="18" s="1"/>
  <c r="D17" i="18"/>
  <c r="I17" i="18" s="1"/>
  <c r="L16" i="19"/>
  <c r="E23" i="18" s="1"/>
  <c r="I23" i="18" s="1"/>
  <c r="M16" i="19"/>
  <c r="F23" i="18" s="1"/>
  <c r="D23" i="18"/>
  <c r="R6" i="18"/>
  <c r="L4" i="19"/>
  <c r="E11" i="18" s="1"/>
  <c r="O11" i="18" s="1"/>
  <c r="D11" i="18"/>
  <c r="M4" i="19"/>
  <c r="F11" i="18" s="1"/>
  <c r="L12" i="19"/>
  <c r="E19" i="18" s="1"/>
  <c r="M12" i="19"/>
  <c r="F19" i="18" s="1"/>
  <c r="M14" i="19"/>
  <c r="F21" i="18" s="1"/>
  <c r="I3" i="20"/>
  <c r="L8" i="19"/>
  <c r="E15" i="18" s="1"/>
  <c r="I15" i="18" s="1"/>
  <c r="M8" i="19"/>
  <c r="F15" i="18" s="1"/>
  <c r="D15" i="18"/>
  <c r="E28" i="18"/>
  <c r="E13" i="18"/>
  <c r="I13" i="18" s="1"/>
  <c r="L17" i="19"/>
  <c r="E24" i="18" s="1"/>
  <c r="I24" i="18" s="1"/>
  <c r="D24" i="18"/>
  <c r="M21" i="19"/>
  <c r="F28" i="18" s="1"/>
  <c r="R5" i="18"/>
  <c r="I16" i="18"/>
  <c r="E20" i="18"/>
  <c r="M17" i="19"/>
  <c r="F24" i="18" s="1"/>
  <c r="N25" i="18"/>
  <c r="F41" i="21"/>
  <c r="F50" i="21" s="1"/>
  <c r="A12" i="18"/>
  <c r="R11" i="18"/>
  <c r="D28" i="18"/>
  <c r="I28" i="18" s="1"/>
  <c r="L9" i="19"/>
  <c r="E16" i="18" s="1"/>
  <c r="D16" i="18"/>
  <c r="M15" i="19"/>
  <c r="F22" i="18" s="1"/>
  <c r="L18" i="19"/>
  <c r="E25" i="18" s="1"/>
  <c r="D25" i="18"/>
  <c r="I25" i="18" s="1"/>
  <c r="I29" i="18"/>
  <c r="L24" i="19"/>
  <c r="D31" i="18"/>
  <c r="M24" i="19"/>
  <c r="F31" i="18" s="1"/>
  <c r="L7" i="19"/>
  <c r="E14" i="18" s="1"/>
  <c r="I14" i="18" s="1"/>
  <c r="D14" i="18"/>
  <c r="L11" i="19"/>
  <c r="E18" i="18" s="1"/>
  <c r="D18" i="18"/>
  <c r="L19" i="19"/>
  <c r="E26" i="18" s="1"/>
  <c r="D26" i="18"/>
  <c r="I26" i="18" s="1"/>
  <c r="L23" i="19"/>
  <c r="E30" i="18" s="1"/>
  <c r="D30" i="18"/>
  <c r="M7" i="19"/>
  <c r="F14" i="18" s="1"/>
  <c r="M11" i="19"/>
  <c r="F18" i="18" s="1"/>
  <c r="M23" i="19"/>
  <c r="F30" i="18" s="1"/>
  <c r="L15" i="19"/>
  <c r="E22" i="18" s="1"/>
  <c r="D22" i="18"/>
  <c r="M19" i="19"/>
  <c r="F26" i="18" s="1"/>
  <c r="I30" i="18" l="1"/>
  <c r="I11" i="18"/>
  <c r="P11" i="18" s="1"/>
  <c r="Q11" i="18" s="1"/>
  <c r="I18" i="18"/>
  <c r="I21" i="18"/>
  <c r="I19" i="18"/>
  <c r="P13" i="18"/>
  <c r="O12" i="18"/>
  <c r="Q12" i="18" s="1"/>
  <c r="A13" i="18"/>
  <c r="O13" i="18" s="1"/>
  <c r="Q13" i="18" s="1"/>
  <c r="R12" i="18"/>
  <c r="I27" i="18"/>
  <c r="I20" i="18"/>
  <c r="I22" i="18"/>
  <c r="I32" i="18"/>
  <c r="E31" i="18"/>
  <c r="I31" i="18" s="1"/>
  <c r="I33" i="18" l="1"/>
  <c r="A14" i="18"/>
  <c r="R13" i="18"/>
  <c r="A15" i="18" l="1"/>
  <c r="R14" i="18"/>
  <c r="O14" i="18"/>
  <c r="P14" i="18"/>
  <c r="Q14" i="18" l="1"/>
  <c r="A16" i="18"/>
  <c r="R15" i="18"/>
  <c r="P15" i="18"/>
  <c r="O15" i="18"/>
  <c r="A17" i="18" l="1"/>
  <c r="R16" i="18"/>
  <c r="O16" i="18"/>
  <c r="P16" i="18"/>
  <c r="Q15" i="18"/>
  <c r="A18" i="18" l="1"/>
  <c r="R17" i="18"/>
  <c r="O17" i="18"/>
  <c r="P17" i="18"/>
  <c r="Q16" i="18"/>
  <c r="Q17" i="18" l="1"/>
  <c r="A19" i="18"/>
  <c r="R18" i="18"/>
  <c r="P18" i="18"/>
  <c r="O18" i="18"/>
  <c r="Q18" i="18" s="1"/>
  <c r="A20" i="18" l="1"/>
  <c r="R19" i="18"/>
  <c r="P19" i="18"/>
  <c r="O19" i="18"/>
  <c r="Q19" i="18" s="1"/>
  <c r="A21" i="18" l="1"/>
  <c r="R20" i="18"/>
  <c r="O20" i="18"/>
  <c r="P20" i="18"/>
  <c r="Q20" i="18" l="1"/>
  <c r="A22" i="18"/>
  <c r="R21" i="18"/>
  <c r="O21" i="18"/>
  <c r="P21" i="18"/>
  <c r="Q21" i="18" l="1"/>
  <c r="R22" i="18"/>
  <c r="A23" i="18"/>
  <c r="O22" i="18"/>
  <c r="P22" i="18"/>
  <c r="Q22" i="18" l="1"/>
  <c r="A24" i="18"/>
  <c r="R23" i="18"/>
  <c r="P23" i="18"/>
  <c r="O23" i="18"/>
  <c r="Q23" i="18" s="1"/>
  <c r="A25" i="18" l="1"/>
  <c r="R24" i="18"/>
  <c r="U30" i="18" s="1"/>
  <c r="P24" i="18"/>
  <c r="O24" i="18"/>
  <c r="Q24" i="18" s="1"/>
  <c r="A26" i="18" l="1"/>
  <c r="P25" i="18"/>
  <c r="O25" i="18"/>
  <c r="R25" i="18"/>
  <c r="Q25" i="18" l="1"/>
  <c r="A27" i="18"/>
  <c r="R26" i="18"/>
  <c r="P26" i="18"/>
  <c r="O26" i="18"/>
  <c r="Q26" i="18" l="1"/>
  <c r="A28" i="18"/>
  <c r="R27" i="18"/>
  <c r="O27" i="18"/>
  <c r="P27" i="18"/>
  <c r="Q27" i="18" l="1"/>
  <c r="A29" i="18"/>
  <c r="R28" i="18"/>
  <c r="P28" i="18"/>
  <c r="O28" i="18"/>
  <c r="Q28" i="18" l="1"/>
  <c r="A30" i="18"/>
  <c r="R29" i="18"/>
  <c r="O29" i="18"/>
  <c r="P29" i="18"/>
  <c r="Q29" i="18" l="1"/>
  <c r="A31" i="18"/>
  <c r="R30" i="18"/>
  <c r="O30" i="18"/>
  <c r="P30" i="18"/>
  <c r="T30" i="18" s="1"/>
  <c r="Q30" i="18" l="1"/>
  <c r="R31" i="18"/>
  <c r="R33" i="18" s="1"/>
  <c r="P31" i="18"/>
  <c r="P32" i="18"/>
  <c r="O31" i="18"/>
  <c r="Q31" i="18" l="1"/>
  <c r="O33" i="18"/>
  <c r="Q32" i="18"/>
  <c r="Q33" i="18" s="1"/>
  <c r="P34" i="18" s="1"/>
  <c r="P33" i="18"/>
  <c r="G3" i="17" l="1"/>
  <c r="H4" i="17"/>
  <c r="G5" i="17"/>
  <c r="G6" i="17"/>
  <c r="H7" i="17"/>
  <c r="C15" i="17"/>
  <c r="C17" i="17"/>
  <c r="C18" i="17"/>
  <c r="E26" i="16"/>
  <c r="E27" i="16"/>
  <c r="E28" i="16"/>
  <c r="D29" i="16"/>
  <c r="E29" i="16" s="1"/>
  <c r="D11" i="15"/>
  <c r="D12" i="15"/>
  <c r="D13" i="15"/>
  <c r="D14" i="15"/>
  <c r="D13" i="14"/>
  <c r="D14" i="14"/>
  <c r="D15" i="14"/>
  <c r="D16" i="14"/>
  <c r="J2" i="13"/>
  <c r="M2" i="13"/>
  <c r="D3" i="13"/>
  <c r="J3" i="13"/>
  <c r="M3" i="13" s="1"/>
  <c r="M9" i="13" s="1"/>
  <c r="J4" i="13"/>
  <c r="M4" i="13" s="1"/>
  <c r="M8" i="13" s="1"/>
  <c r="M5" i="13"/>
  <c r="J6" i="13"/>
  <c r="M6" i="13"/>
  <c r="J7" i="13"/>
  <c r="M7" i="13"/>
  <c r="J8" i="13"/>
  <c r="N8" i="13" s="1"/>
  <c r="I8" i="17" l="1"/>
  <c r="J9" i="13"/>
  <c r="N9" i="13" s="1"/>
</calcChain>
</file>

<file path=xl/sharedStrings.xml><?xml version="1.0" encoding="utf-8"?>
<sst xmlns="http://schemas.openxmlformats.org/spreadsheetml/2006/main" count="330" uniqueCount="202">
  <si>
    <t>Existing</t>
  </si>
  <si>
    <t>Proposed</t>
  </si>
  <si>
    <t>PM</t>
  </si>
  <si>
    <t>Total</t>
  </si>
  <si>
    <t>Unit Value (Year $)</t>
  </si>
  <si>
    <t>Project Benefit</t>
  </si>
  <si>
    <t>Delay Reduction Benefits</t>
  </si>
  <si>
    <t>Safety Benefits</t>
  </si>
  <si>
    <t>Benefit/ Time</t>
  </si>
  <si>
    <t>Times/ Year</t>
  </si>
  <si>
    <t>Year</t>
  </si>
  <si>
    <t>Calendar Year</t>
  </si>
  <si>
    <t>Benefit Cost Ratio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</si>
  <si>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</si>
  <si>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</si>
  <si>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</si>
  <si>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</si>
  <si>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</si>
  <si>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</si>
  <si>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</si>
  <si>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</si>
  <si>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</si>
  <si>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</si>
  <si>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Benefits</t>
  </si>
  <si>
    <t>(A) = Existing Values, calculations shown elsewhere</t>
  </si>
  <si>
    <t>(B) = Proposed Values, calculations shown elsewhere</t>
  </si>
  <si>
    <t>(C) = (A) - (B)</t>
  </si>
  <si>
    <t>(D) = Unit Values, sources in this document</t>
  </si>
  <si>
    <t>(E) = Year of Unit Values, sources in this document</t>
  </si>
  <si>
    <t>(H) = (C) x (G)</t>
  </si>
  <si>
    <t>(J) = (H) x (I)</t>
  </si>
  <si>
    <t>(I) = How Many Times the Benefit Can Be Claimed Annually</t>
  </si>
  <si>
    <t>(Crashes/Year)</t>
  </si>
  <si>
    <t>Injury/Fatality Crashes</t>
  </si>
  <si>
    <t>PDO Crashes</t>
  </si>
  <si>
    <t>7% Discounted</t>
  </si>
  <si>
    <t>Class B Patches Unit Cost ($/sqyd)</t>
  </si>
  <si>
    <t>Maintenance</t>
  </si>
  <si>
    <t>Pavement Year</t>
  </si>
  <si>
    <t>2.5" HMA Overlay (tons)</t>
  </si>
  <si>
    <t>2.5" HMA Overlay ($/tons)</t>
  </si>
  <si>
    <t>BUILD Timeline Year</t>
  </si>
  <si>
    <t>Hamilton Road - Bunn to Commerce Improvement</t>
  </si>
  <si>
    <t>Grams/mile</t>
  </si>
  <si>
    <t>Short Tons/mile</t>
  </si>
  <si>
    <t>No crack filling</t>
  </si>
  <si>
    <t>Bloomington Discussion on Maintenance</t>
  </si>
  <si>
    <t>Do NOT use BUILD to Pay for Land Acq</t>
  </si>
  <si>
    <t>SQYD Pavement</t>
  </si>
  <si>
    <t>5% patching done with Mill/Fill</t>
  </si>
  <si>
    <t>Benefit Cost Ratio = Total (G)/Total (H)</t>
  </si>
  <si>
    <t>Residual Life</t>
  </si>
  <si>
    <t>Useful Service Life = 12 years for maintenance</t>
  </si>
  <si>
    <t>Surface Removal, 2.5" ($/sqyd)</t>
  </si>
  <si>
    <t xml:space="preserve">Pollution Type </t>
  </si>
  <si>
    <t xml:space="preserve">Source:  </t>
  </si>
  <si>
    <t>https://www.transportation.gov/sites/dot.gov/files/2020-01/benefit-cost-analysis-guidance-2020_0.pdf</t>
  </si>
  <si>
    <t>Project Year</t>
  </si>
  <si>
    <t>VHT</t>
  </si>
  <si>
    <t>VMT</t>
  </si>
  <si>
    <t>https://www.epa.gov/energy/greenhouse-gases-equivalencies-calculator-calculations-and-references</t>
  </si>
  <si>
    <t>Engineering Costs</t>
  </si>
  <si>
    <t>Land Acquisition Costs</t>
  </si>
  <si>
    <t>Railroad Costs</t>
  </si>
  <si>
    <t>Construction Costs</t>
  </si>
  <si>
    <t>Travel Time</t>
  </si>
  <si>
    <t>Vehicle Operations</t>
  </si>
  <si>
    <t>Property Damage Only Crashes</t>
  </si>
  <si>
    <r>
      <t>CO</t>
    </r>
    <r>
      <rPr>
        <b/>
        <vertAlign val="subscript"/>
        <sz val="11"/>
        <color theme="3"/>
        <rFont val="Calibri"/>
        <family val="2"/>
        <scheme val="minor"/>
      </rPr>
      <t>2</t>
    </r>
    <r>
      <rPr>
        <b/>
        <sz val="11"/>
        <color theme="3"/>
        <rFont val="Calibri"/>
        <family val="2"/>
        <scheme val="minor"/>
      </rPr>
      <t>E Emission Reduction</t>
    </r>
  </si>
  <si>
    <r>
      <t>PM</t>
    </r>
    <r>
      <rPr>
        <b/>
        <vertAlign val="subscript"/>
        <sz val="11"/>
        <color theme="3"/>
        <rFont val="Calibri"/>
        <family val="2"/>
        <scheme val="minor"/>
      </rPr>
      <t>2.5</t>
    </r>
    <r>
      <rPr>
        <b/>
        <sz val="11"/>
        <color theme="3"/>
        <rFont val="Calibri"/>
        <family val="2"/>
        <scheme val="minor"/>
      </rPr>
      <t xml:space="preserve"> Emission Reduction</t>
    </r>
  </si>
  <si>
    <t>Hamilton Road No Build</t>
  </si>
  <si>
    <t>Hamilton Road Build</t>
  </si>
  <si>
    <t>Daily Change</t>
  </si>
  <si>
    <t>Annual Change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</si>
  <si>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Reduction</t>
    </r>
  </si>
  <si>
    <r>
      <t>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Reduction</t>
    </r>
  </si>
  <si>
    <r>
      <t>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Emission Rate Source: </t>
    </r>
  </si>
  <si>
    <t xml:space="preserve">https://www.bts.gov/content/estimated-national-average-vehicle-emissions-rates-vehicle-vehicle-type-using-gasoline-and 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</si>
  <si>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E Emission Rate Source: </t>
    </r>
  </si>
  <si>
    <t>Metric Tons/mile</t>
  </si>
  <si>
    <t>https://www.transportation.gov/sites/dot.gov/files/2021-02/Benefit%20Cost%20Analysis%20Guidance%202021.pdf</t>
  </si>
  <si>
    <t>In vehicle Travel  - All Purposes:</t>
  </si>
  <si>
    <t>2019$</t>
  </si>
  <si>
    <t>per hour</t>
  </si>
  <si>
    <t>Vehicle Operation Costs:</t>
  </si>
  <si>
    <r>
      <t>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and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Cost Source: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</si>
  <si>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</si>
  <si>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</si>
  <si>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Benefits ($2019)</t>
  </si>
  <si>
    <t xml:space="preserve">Recommended Travel Time Rate Cost Source: </t>
  </si>
  <si>
    <t xml:space="preserve">Vehicle Operations Cost Source:  </t>
  </si>
  <si>
    <t>https://www.bts.gov/content/average-cost-owning-and-operating-automobilea-assuming-15000-vehicle-miles-year</t>
  </si>
  <si>
    <t>per mile</t>
  </si>
  <si>
    <t>3% Discount</t>
  </si>
  <si>
    <r>
      <t>CO</t>
    </r>
    <r>
      <rPr>
        <b/>
        <vertAlign val="subscript"/>
        <sz val="11"/>
        <color theme="3"/>
        <rFont val="Calibri"/>
        <family val="2"/>
        <scheme val="minor"/>
      </rPr>
      <t>2</t>
    </r>
    <r>
      <rPr>
        <b/>
        <sz val="11"/>
        <color theme="3"/>
        <rFont val="Calibri"/>
        <family val="2"/>
        <scheme val="minor"/>
      </rPr>
      <t>E Benefit</t>
    </r>
  </si>
  <si>
    <t>(C) = Total Annual Benefit ($ 2019)</t>
  </si>
  <si>
    <t>(D) = Total Costs Annual Costs (Year Expended)</t>
  </si>
  <si>
    <t>Total Costs (NPV)</t>
  </si>
  <si>
    <t>Total Benefits (NPV)</t>
  </si>
  <si>
    <t>Annual Project Benefit (2019$)</t>
  </si>
  <si>
    <t>Overlay 12 year @ $140/ton</t>
  </si>
  <si>
    <r>
      <t>(E) =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E)/(1.03</t>
    </r>
    <r>
      <rPr>
        <vertAlign val="superscript"/>
        <sz val="11"/>
        <color theme="1"/>
        <rFont val="Calibri"/>
        <family val="2"/>
        <scheme val="minor"/>
      </rPr>
      <t>(A-1)</t>
    </r>
    <r>
      <rPr>
        <sz val="11"/>
        <color theme="1"/>
        <rFont val="Calibri"/>
        <family val="2"/>
        <scheme val="minor"/>
      </rPr>
      <t>)</t>
    </r>
  </si>
  <si>
    <r>
      <t>(F) = (Benefits $2019 (C) -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E)/(1.07</t>
    </r>
    <r>
      <rPr>
        <vertAlign val="superscript"/>
        <sz val="11"/>
        <color theme="1"/>
        <rFont val="Calibri"/>
        <family val="2"/>
        <scheme val="minor"/>
      </rPr>
      <t>(A-1)</t>
    </r>
    <r>
      <rPr>
        <sz val="11"/>
        <color theme="1"/>
        <rFont val="Calibri"/>
        <family val="2"/>
        <scheme val="minor"/>
      </rPr>
      <t>)</t>
    </r>
  </si>
  <si>
    <t>(G) = (E) + (F)</t>
  </si>
  <si>
    <r>
      <t>(H) = (F)*(1.07(A-1)) or (H) = (F)/(1.07</t>
    </r>
    <r>
      <rPr>
        <vertAlign val="superscript"/>
        <sz val="11"/>
        <color theme="1"/>
        <rFont val="Calibri"/>
        <family val="2"/>
        <scheme val="minor"/>
      </rPr>
      <t>(A-1)</t>
    </r>
    <r>
      <rPr>
        <sz val="11"/>
        <color theme="1"/>
        <rFont val="Calibri"/>
        <family val="2"/>
        <scheme val="minor"/>
      </rPr>
      <t xml:space="preserve">) </t>
    </r>
  </si>
  <si>
    <t>Useful Service Life = 40 years for initial Construction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</si>
  <si>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Cost of Crashes from HSM Appendix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</si>
  <si>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Expected Rail Crossing Crashes would result in an injury or fatality.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</si>
  <si>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Traffic volumes for the proposed Morrissey Crossing and Hamilton Crossing were pulled from the 2035 TDM and reduced backward at 3% to the 10 year ADT required for the IDOT BLR Expected Crash Frequency Equation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</si>
  <si>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Morrissey Rail crossing and Hamilton Road crossing would both have gates installed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</si>
  <si>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intersection at Bunn and Hamilton would become signalized</t>
    </r>
  </si>
  <si>
    <t>·         Hamilton Road will have curb and gutter which will reduce crashes from the no shouldered Rhodes Road. A CMF from the clearinghouse was applied (http://www.cmfclearinghouse.org/detail.cfm?facid=2375)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</si>
  <si>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The existing crashes at Rhodes and Morrissey were reduced assuming the traffic would move to the signalized intersection at Hamilton and Morrissey. A CMF from the HSM for switching from a stop controlled intersection to a signal was applied.</t>
    </r>
  </si>
  <si>
    <t>The following assumptions were made:</t>
  </si>
  <si>
    <t>PDO</t>
  </si>
  <si>
    <t>Injury</t>
  </si>
  <si>
    <t>Intersection Morrissey</t>
  </si>
  <si>
    <t>Clearing House Report</t>
  </si>
  <si>
    <t>FYA</t>
  </si>
  <si>
    <t>P/P</t>
  </si>
  <si>
    <t>Intersection - Morrissey</t>
  </si>
  <si>
    <t>1 per lane</t>
  </si>
  <si>
    <t>1 Signal Head</t>
  </si>
  <si>
    <t>Roadway Segment</t>
  </si>
  <si>
    <t>Signal</t>
  </si>
  <si>
    <t>Stop Control</t>
  </si>
  <si>
    <t>Intersection - Bunn</t>
  </si>
  <si>
    <t>Curb and Gutter</t>
  </si>
  <si>
    <t>No Shoulder</t>
  </si>
  <si>
    <t>Roadside Element</t>
  </si>
  <si>
    <t>Intersection Bunn</t>
  </si>
  <si>
    <t>TWLTL</t>
  </si>
  <si>
    <t>Two-Lanes</t>
  </si>
  <si>
    <t>Reduced Crashes</t>
  </si>
  <si>
    <t>Remaining Crashes</t>
  </si>
  <si>
    <t>CMFs Applied</t>
  </si>
  <si>
    <t>Annual Crashes</t>
  </si>
  <si>
    <t>CMF</t>
  </si>
  <si>
    <t>New Hamilton Rd</t>
  </si>
  <si>
    <t>Rhodes</t>
  </si>
  <si>
    <t>Condition</t>
  </si>
  <si>
    <t>Total PDO</t>
  </si>
  <si>
    <t>Total C</t>
  </si>
  <si>
    <t>Total B</t>
  </si>
  <si>
    <t>Total A</t>
  </si>
  <si>
    <t>Yes</t>
  </si>
  <si>
    <t>Failing to yield right-of-way</t>
  </si>
  <si>
    <t>Dry</t>
  </si>
  <si>
    <t>Daylight</t>
  </si>
  <si>
    <t>Clear</t>
  </si>
  <si>
    <t>Bloomington</t>
  </si>
  <si>
    <t xml:space="preserve">McLean              </t>
  </si>
  <si>
    <t>City Streets Urban</t>
  </si>
  <si>
    <t>Local</t>
  </si>
  <si>
    <t>10-Turning</t>
  </si>
  <si>
    <t>0-Property damage crash</t>
  </si>
  <si>
    <t>Weather</t>
  </si>
  <si>
    <t>Ice</t>
  </si>
  <si>
    <t>Snow</t>
  </si>
  <si>
    <t>11-Rear end</t>
  </si>
  <si>
    <t>PDO 2009</t>
  </si>
  <si>
    <t>PDO 2010</t>
  </si>
  <si>
    <t>No</t>
  </si>
  <si>
    <t>Physical condition of driver</t>
  </si>
  <si>
    <t>Wet</t>
  </si>
  <si>
    <t>Darkness</t>
  </si>
  <si>
    <t>Rain</t>
  </si>
  <si>
    <t>5-Overturned</t>
  </si>
  <si>
    <t>B-Non-incapacitating injury crash</t>
  </si>
  <si>
    <t>BC</t>
  </si>
  <si>
    <t>KA</t>
  </si>
  <si>
    <t>PDO 2011</t>
  </si>
  <si>
    <t>Failing to reduce speed to avoid crash</t>
  </si>
  <si>
    <t>C-Injury reported, not evident crash</t>
  </si>
  <si>
    <t>A-Incapacitating injury crash</t>
  </si>
  <si>
    <t>Angle</t>
  </si>
  <si>
    <t>B</t>
  </si>
  <si>
    <t>A</t>
  </si>
  <si>
    <t>Turning</t>
  </si>
  <si>
    <t>Rear End</t>
  </si>
  <si>
    <t>Sideswipe Same</t>
  </si>
  <si>
    <t>Fixed Object</t>
  </si>
  <si>
    <t>C</t>
  </si>
  <si>
    <t>Hamilton Crossing - Proposed</t>
  </si>
  <si>
    <t>Morrissey Crossing - Proposed</t>
  </si>
  <si>
    <t>Morrissey Crossing - Existing</t>
  </si>
  <si>
    <t>ADT 2024</t>
  </si>
  <si>
    <t>ADT 2035</t>
  </si>
  <si>
    <t>Gates, Urban</t>
  </si>
  <si>
    <t>Flashing Lights, Urban</t>
  </si>
  <si>
    <t>Expected Crash Frequency</t>
  </si>
  <si>
    <t>Trains/Day</t>
  </si>
  <si>
    <t>Factor</t>
  </si>
  <si>
    <t>Reduced Crashes/Year</t>
  </si>
  <si>
    <t>Total Expected Crashes</t>
  </si>
  <si>
    <t>A x B x T</t>
  </si>
  <si>
    <t>T</t>
  </si>
  <si>
    <t>Components</t>
  </si>
  <si>
    <t>ADT 20</t>
  </si>
  <si>
    <t>Injury/ Fatality Crashes</t>
  </si>
  <si>
    <t>Total Annual Costs ($2019)</t>
  </si>
  <si>
    <t>City of Bloomington Crash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</si>
</sst>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_);\(0\)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0.00000"/>
    <numFmt numFmtId="169" formatCode="0.000"/>
    <numFmt numFmtId="170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bscript"/>
      <sz val="11"/>
      <color theme="3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theme="4" tint="0.39997558519241921"/>
      </bottom>
      <diagonal/>
    </border>
    <border>
      <left style="thin">
        <color auto="1"/>
      </left>
      <right/>
      <top style="thin">
        <color indexed="64"/>
      </top>
      <bottom style="medium">
        <color theme="4" tint="0.39997558519241921"/>
      </bottom>
      <diagonal/>
    </border>
    <border>
      <left style="thin">
        <color auto="1"/>
      </left>
      <right/>
      <top/>
      <bottom style="medium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double">
        <color theme="4"/>
      </top>
      <bottom style="thin">
        <color indexed="64"/>
      </bottom>
      <diagonal/>
    </border>
    <border>
      <left/>
      <right style="thin">
        <color indexed="64"/>
      </right>
      <top style="double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/>
      <diagonal/>
    </border>
    <border>
      <left style="thin">
        <color auto="1"/>
      </left>
      <right/>
      <top style="medium">
        <color theme="4" tint="0.39997558519241921"/>
      </top>
      <bottom/>
      <diagonal/>
    </border>
    <border>
      <left/>
      <right style="thin">
        <color auto="1"/>
      </right>
      <top style="medium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/>
      <top style="double">
        <color theme="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2" applyNumberFormat="0" applyFill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13" applyNumberFormat="0" applyFill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3" fillId="0" borderId="4" xfId="2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0" xfId="0" applyAlignment="1">
      <alignment horizontal="right"/>
    </xf>
    <xf numFmtId="7" fontId="0" fillId="0" borderId="0" xfId="0" applyNumberFormat="1" applyAlignment="1">
      <alignment horizontal="right"/>
    </xf>
    <xf numFmtId="0" fontId="3" fillId="0" borderId="4" xfId="2" applyBorder="1" applyAlignment="1">
      <alignment horizontal="center" vertical="center"/>
    </xf>
    <xf numFmtId="0" fontId="3" fillId="0" borderId="4" xfId="2" applyBorder="1" applyAlignment="1">
      <alignment horizontal="center" vertical="center" wrapText="1"/>
    </xf>
    <xf numFmtId="7" fontId="3" fillId="0" borderId="4" xfId="2" applyNumberFormat="1" applyBorder="1" applyAlignment="1">
      <alignment horizontal="center" vertical="center" wrapText="1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3" fillId="0" borderId="6" xfId="2" applyBorder="1" applyAlignment="1">
      <alignment horizontal="left"/>
    </xf>
    <xf numFmtId="0" fontId="3" fillId="0" borderId="8" xfId="2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2" fillId="0" borderId="1" xfId="0" applyFont="1" applyBorder="1" applyAlignment="1">
      <alignment horizontal="center" vertical="center" textRotation="90" wrapText="1"/>
    </xf>
    <xf numFmtId="7" fontId="3" fillId="2" borderId="4" xfId="6" applyNumberFormat="1" applyFont="1" applyBorder="1" applyAlignment="1">
      <alignment horizontal="right" vertical="center" wrapText="1"/>
    </xf>
    <xf numFmtId="7" fontId="1" fillId="2" borderId="4" xfId="6" applyNumberFormat="1" applyBorder="1" applyAlignment="1">
      <alignment horizontal="right" vertical="center" wrapText="1"/>
    </xf>
    <xf numFmtId="0" fontId="5" fillId="0" borderId="3" xfId="0" applyFont="1" applyBorder="1" applyAlignment="1">
      <alignment horizontal="left" indent="4"/>
    </xf>
    <xf numFmtId="7" fontId="3" fillId="0" borderId="4" xfId="2" applyNumberFormat="1" applyBorder="1" applyAlignment="1">
      <alignment horizontal="right" vertical="center" wrapText="1"/>
    </xf>
    <xf numFmtId="0" fontId="0" fillId="0" borderId="11" xfId="0" applyBorder="1"/>
    <xf numFmtId="0" fontId="3" fillId="0" borderId="2" xfId="2" applyAlignment="1">
      <alignment horizontal="center" vertical="center" wrapText="1"/>
    </xf>
    <xf numFmtId="0" fontId="3" fillId="0" borderId="10" xfId="2" applyBorder="1" applyAlignment="1">
      <alignment horizontal="center" vertical="center" wrapText="1"/>
    </xf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center" vertical="center" wrapText="1"/>
    </xf>
    <xf numFmtId="0" fontId="0" fillId="0" borderId="0" xfId="1" applyNumberFormat="1" applyFont="1"/>
    <xf numFmtId="167" fontId="1" fillId="2" borderId="0" xfId="6" applyNumberFormat="1" applyAlignment="1">
      <alignment horizontal="center" vertical="center"/>
    </xf>
    <xf numFmtId="167" fontId="1" fillId="2" borderId="7" xfId="6" applyNumberFormat="1" applyBorder="1" applyAlignment="1">
      <alignment horizontal="center" vertical="center"/>
    </xf>
    <xf numFmtId="167" fontId="2" fillId="2" borderId="13" xfId="6" applyNumberFormat="1" applyFont="1" applyBorder="1" applyAlignment="1">
      <alignment horizontal="center" vertical="center"/>
    </xf>
    <xf numFmtId="167" fontId="2" fillId="2" borderId="14" xfId="6" applyNumberFormat="1" applyFont="1" applyBorder="1" applyAlignment="1">
      <alignment horizontal="center" vertical="center"/>
    </xf>
    <xf numFmtId="167" fontId="1" fillId="2" borderId="17" xfId="6" applyNumberFormat="1" applyBorder="1" applyAlignment="1">
      <alignment horizontal="center" vertical="center"/>
    </xf>
    <xf numFmtId="0" fontId="6" fillId="0" borderId="0" xfId="7"/>
    <xf numFmtId="0" fontId="0" fillId="0" borderId="21" xfId="0" applyBorder="1" applyAlignment="1">
      <alignment horizontal="right"/>
    </xf>
    <xf numFmtId="167" fontId="1" fillId="2" borderId="25" xfId="6" applyNumberFormat="1" applyBorder="1" applyAlignment="1">
      <alignment horizontal="center" vertical="center"/>
    </xf>
    <xf numFmtId="0" fontId="2" fillId="0" borderId="1" xfId="0" applyFont="1" applyBorder="1"/>
    <xf numFmtId="11" fontId="0" fillId="0" borderId="1" xfId="0" applyNumberFormat="1" applyBorder="1" applyAlignment="1">
      <alignment horizontal="center"/>
    </xf>
    <xf numFmtId="0" fontId="6" fillId="0" borderId="0" xfId="7" applyAlignment="1">
      <alignment horizontal="left"/>
    </xf>
    <xf numFmtId="0" fontId="3" fillId="0" borderId="10" xfId="2" applyFill="1" applyBorder="1" applyAlignment="1">
      <alignment horizontal="right" vertical="center" wrapText="1"/>
    </xf>
    <xf numFmtId="0" fontId="3" fillId="0" borderId="8" xfId="2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67" fontId="0" fillId="0" borderId="0" xfId="0" applyNumberFormat="1" applyAlignment="1">
      <alignment wrapText="1"/>
    </xf>
    <xf numFmtId="0" fontId="3" fillId="0" borderId="2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3" xfId="5" applyBorder="1" applyAlignment="1">
      <alignment horizontal="center" vertical="center"/>
    </xf>
    <xf numFmtId="0" fontId="3" fillId="0" borderId="26" xfId="2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/>
    <xf numFmtId="0" fontId="0" fillId="0" borderId="21" xfId="0" applyBorder="1"/>
    <xf numFmtId="166" fontId="0" fillId="0" borderId="0" xfId="1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7" fontId="3" fillId="0" borderId="26" xfId="2" applyNumberFormat="1" applyFont="1" applyBorder="1" applyAlignment="1">
      <alignment horizontal="center" vertical="center"/>
    </xf>
    <xf numFmtId="167" fontId="1" fillId="3" borderId="0" xfId="6" applyNumberFormat="1" applyFill="1" applyAlignment="1">
      <alignment horizontal="center" vertical="center"/>
    </xf>
    <xf numFmtId="167" fontId="1" fillId="3" borderId="7" xfId="6" applyNumberFormat="1" applyFill="1" applyBorder="1" applyAlignment="1">
      <alignment horizontal="center" vertical="center"/>
    </xf>
    <xf numFmtId="167" fontId="0" fillId="3" borderId="0" xfId="0" applyNumberFormat="1" applyFill="1" applyBorder="1" applyAlignment="1">
      <alignment horizontal="center" vertical="center"/>
    </xf>
    <xf numFmtId="167" fontId="2" fillId="3" borderId="13" xfId="5" applyNumberFormat="1" applyFont="1" applyFill="1" applyBorder="1" applyAlignment="1">
      <alignment horizontal="center" vertical="center"/>
    </xf>
    <xf numFmtId="167" fontId="2" fillId="3" borderId="14" xfId="6" applyNumberFormat="1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3" fillId="4" borderId="8" xfId="2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22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indent="5"/>
    </xf>
    <xf numFmtId="0" fontId="6" fillId="0" borderId="0" xfId="7" applyAlignment="1">
      <alignment horizontal="left" vertical="center" indent="5"/>
    </xf>
    <xf numFmtId="0" fontId="0" fillId="0" borderId="0" xfId="0" applyAlignment="1">
      <alignment vertic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22" fontId="0" fillId="0" borderId="0" xfId="0" applyNumberFormat="1"/>
    <xf numFmtId="0" fontId="2" fillId="0" borderId="0" xfId="0" applyFont="1"/>
    <xf numFmtId="14" fontId="0" fillId="0" borderId="0" xfId="0" applyNumberFormat="1"/>
    <xf numFmtId="1" fontId="0" fillId="0" borderId="0" xfId="0" applyNumberFormat="1" applyAlignment="1">
      <alignment horizontal="center"/>
    </xf>
    <xf numFmtId="9" fontId="0" fillId="0" borderId="0" xfId="8" applyFont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" fontId="0" fillId="0" borderId="4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5" xfId="5" applyBorder="1" applyAlignment="1">
      <alignment horizontal="center" vertical="center"/>
    </xf>
    <xf numFmtId="0" fontId="2" fillId="0" borderId="14" xfId="5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0" fontId="3" fillId="0" borderId="17" xfId="2" applyBorder="1" applyAlignment="1">
      <alignment horizontal="center" vertical="center"/>
    </xf>
    <xf numFmtId="2" fontId="3" fillId="2" borderId="16" xfId="2" applyNumberFormat="1" applyFill="1" applyBorder="1" applyAlignment="1">
      <alignment horizontal="center" vertical="center"/>
    </xf>
    <xf numFmtId="2" fontId="3" fillId="2" borderId="26" xfId="2" applyNumberFormat="1" applyFill="1" applyBorder="1" applyAlignment="1">
      <alignment horizontal="center" vertical="center"/>
    </xf>
    <xf numFmtId="2" fontId="3" fillId="2" borderId="17" xfId="2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7" fontId="1" fillId="2" borderId="18" xfId="6" applyNumberFormat="1" applyBorder="1" applyAlignment="1">
      <alignment horizontal="right" vertical="center"/>
    </xf>
    <xf numFmtId="7" fontId="1" fillId="2" borderId="3" xfId="6" applyNumberFormat="1" applyBorder="1" applyAlignment="1">
      <alignment horizontal="right" vertical="center"/>
    </xf>
    <xf numFmtId="2" fontId="0" fillId="0" borderId="3" xfId="0" applyNumberFormat="1" applyFill="1" applyBorder="1" applyAlignment="1">
      <alignment horizontal="center" vertical="center"/>
    </xf>
    <xf numFmtId="165" fontId="0" fillId="0" borderId="11" xfId="3" applyNumberFormat="1" applyFont="1" applyFill="1" applyBorder="1" applyAlignment="1">
      <alignment horizontal="right" vertical="center"/>
    </xf>
    <xf numFmtId="164" fontId="0" fillId="0" borderId="7" xfId="4" applyNumberFormat="1" applyFont="1" applyFill="1" applyBorder="1" applyAlignment="1">
      <alignment horizontal="center" vertical="center"/>
    </xf>
    <xf numFmtId="7" fontId="0" fillId="0" borderId="3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19" xfId="3" applyNumberFormat="1" applyFont="1" applyFill="1" applyBorder="1" applyAlignment="1">
      <alignment horizontal="right" vertical="center"/>
    </xf>
    <xf numFmtId="164" fontId="0" fillId="0" borderId="20" xfId="4" applyNumberFormat="1" applyFont="1" applyFill="1" applyBorder="1" applyAlignment="1">
      <alignment horizontal="center" vertical="center"/>
    </xf>
    <xf numFmtId="7" fontId="0" fillId="0" borderId="18" xfId="0" applyNumberFormat="1" applyBorder="1" applyAlignment="1">
      <alignment horizontal="right" vertical="center"/>
    </xf>
    <xf numFmtId="7" fontId="0" fillId="0" borderId="3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1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38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</cellXfs>
  <cellStyles count="9">
    <cellStyle name="20% - Accent1" xfId="6" builtinId="30"/>
    <cellStyle name="Comma [0]" xfId="3" builtinId="6"/>
    <cellStyle name="Currency" xfId="1" builtinId="4"/>
    <cellStyle name="Currency [0]" xfId="4" builtinId="7"/>
    <cellStyle name="Heading 3" xfId="2" builtinId="18"/>
    <cellStyle name="Hyperlink" xfId="7" builtinId="8"/>
    <cellStyle name="Normal" xfId="0" builtinId="0"/>
    <cellStyle name="Percent" xfId="8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ortation.gov/sites/dot.gov/files/2021-02/Benefit%20Cost%20Analysis%20Guidance%202021.pdf" TargetMode="External"/><Relationship Id="rId2" Type="http://schemas.openxmlformats.org/officeDocument/2006/relationships/hyperlink" Target="https://www.epa.gov/energy/greenhouse-gases-equivalencies-calculator-calculations-and-references" TargetMode="External"/><Relationship Id="rId1" Type="http://schemas.openxmlformats.org/officeDocument/2006/relationships/hyperlink" Target="https://www.bts.gov/content/estimated-national-average-vehicle-emissions-rates-vehicle-vehicle-type-using-gasoline-and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ts.gov/content/average-cost-owning-and-operating-automobilea-assuming-15000-vehicle-miles-yea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ortation.gov/sites/dot.gov/files/2020-01/benefit-cost-analysis-guidance-2020_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mfclearinghouse.org/detail.cfm?facid=23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showGridLines="0" workbookViewId="0">
      <selection activeCell="M3" sqref="M3"/>
    </sheetView>
  </sheetViews>
  <sheetFormatPr defaultRowHeight="15" x14ac:dyDescent="0.25"/>
  <cols>
    <col min="1" max="2" width="8.7109375" customWidth="1"/>
    <col min="3" max="8" width="12.28515625" customWidth="1"/>
    <col min="9" max="9" width="15.140625" customWidth="1"/>
    <col min="10" max="13" width="12.28515625" customWidth="1"/>
    <col min="14" max="18" width="15.140625" customWidth="1"/>
    <col min="19" max="19" width="6.28515625" customWidth="1"/>
    <col min="20" max="27" width="13.5703125" bestFit="1" customWidth="1"/>
    <col min="29" max="29" width="14.5703125" bestFit="1" customWidth="1"/>
  </cols>
  <sheetData>
    <row r="1" spans="1:19" x14ac:dyDescent="0.25">
      <c r="A1" s="19" t="s">
        <v>13</v>
      </c>
      <c r="B1" s="19" t="s">
        <v>14</v>
      </c>
      <c r="C1" s="19"/>
      <c r="D1" s="19"/>
      <c r="E1" s="19"/>
      <c r="F1" s="19"/>
      <c r="G1" s="19"/>
      <c r="H1" s="19"/>
      <c r="I1" s="19" t="s">
        <v>15</v>
      </c>
      <c r="J1" s="19"/>
      <c r="K1" s="19"/>
      <c r="L1" s="19"/>
      <c r="M1" s="19"/>
      <c r="N1" s="19" t="s">
        <v>16</v>
      </c>
      <c r="O1" s="19" t="s">
        <v>17</v>
      </c>
      <c r="P1" s="19" t="s">
        <v>18</v>
      </c>
      <c r="Q1" s="19" t="s">
        <v>19</v>
      </c>
      <c r="R1" s="19" t="s">
        <v>20</v>
      </c>
      <c r="S1" s="18"/>
    </row>
    <row r="2" spans="1:19" x14ac:dyDescent="0.25">
      <c r="A2" s="48"/>
      <c r="B2" s="55"/>
      <c r="C2" s="54"/>
      <c r="D2" s="54"/>
      <c r="E2" s="54"/>
      <c r="F2" s="54"/>
      <c r="G2" s="54"/>
      <c r="H2" s="54"/>
      <c r="I2" s="72"/>
      <c r="J2" s="54"/>
      <c r="K2" s="54"/>
      <c r="L2" s="54"/>
      <c r="M2" s="54"/>
      <c r="N2" s="72"/>
      <c r="O2" s="54" t="s">
        <v>93</v>
      </c>
      <c r="P2" s="55" t="s">
        <v>35</v>
      </c>
      <c r="Q2" s="74"/>
      <c r="R2" s="75" t="s">
        <v>35</v>
      </c>
      <c r="S2" s="27"/>
    </row>
    <row r="3" spans="1:19" s="2" customFormat="1" ht="60.75" thickBot="1" x14ac:dyDescent="0.3">
      <c r="A3" s="29" t="s">
        <v>10</v>
      </c>
      <c r="B3" s="15" t="s">
        <v>11</v>
      </c>
      <c r="C3" s="50" t="s">
        <v>65</v>
      </c>
      <c r="D3" s="50" t="s">
        <v>66</v>
      </c>
      <c r="E3" s="50" t="s">
        <v>68</v>
      </c>
      <c r="F3" s="50" t="s">
        <v>69</v>
      </c>
      <c r="G3" s="50" t="s">
        <v>67</v>
      </c>
      <c r="H3" s="50" t="s">
        <v>199</v>
      </c>
      <c r="I3" s="73" t="s">
        <v>88</v>
      </c>
      <c r="J3" s="50" t="s">
        <v>61</v>
      </c>
      <c r="K3" s="50" t="s">
        <v>62</v>
      </c>
      <c r="L3" s="50" t="s">
        <v>63</v>
      </c>
      <c r="M3" s="50" t="s">
        <v>64</v>
      </c>
      <c r="N3" s="73" t="s">
        <v>200</v>
      </c>
      <c r="O3" s="28" t="s">
        <v>94</v>
      </c>
      <c r="P3" s="15" t="s">
        <v>23</v>
      </c>
      <c r="Q3" s="50" t="s">
        <v>98</v>
      </c>
      <c r="R3" s="15" t="s">
        <v>97</v>
      </c>
      <c r="S3" s="76"/>
    </row>
    <row r="4" spans="1:19" s="2" customFormat="1" x14ac:dyDescent="0.25">
      <c r="A4" s="17"/>
      <c r="B4" s="16">
        <v>2016</v>
      </c>
      <c r="C4" s="51"/>
      <c r="D4" s="51"/>
      <c r="E4" s="51"/>
      <c r="F4" s="51"/>
      <c r="G4" s="51"/>
      <c r="H4" s="51"/>
      <c r="I4" s="36">
        <f>SUM(C4:H4)</f>
        <v>0</v>
      </c>
      <c r="J4" s="58">
        <f>1544544/7</f>
        <v>220649.14285714287</v>
      </c>
      <c r="K4" s="58"/>
      <c r="L4" s="58"/>
      <c r="M4" s="58"/>
      <c r="N4" s="36">
        <f>SUM(J4:M4)</f>
        <v>220649.14285714287</v>
      </c>
      <c r="O4" s="67"/>
      <c r="P4" s="68"/>
      <c r="Q4" s="35">
        <f>O4+P4</f>
        <v>0</v>
      </c>
      <c r="R4" s="36">
        <f>(N4)*(1.07^($B$7-B4))</f>
        <v>270304.6879131429</v>
      </c>
    </row>
    <row r="5" spans="1:19" s="2" customFormat="1" x14ac:dyDescent="0.25">
      <c r="A5" s="17"/>
      <c r="B5" s="16">
        <f>B4+1</f>
        <v>2017</v>
      </c>
      <c r="C5" s="51"/>
      <c r="D5" s="51"/>
      <c r="E5" s="51"/>
      <c r="F5" s="51"/>
      <c r="G5" s="51"/>
      <c r="H5" s="51"/>
      <c r="I5" s="36">
        <f t="shared" ref="I5:I31" si="0">SUM(C5:H5)</f>
        <v>0</v>
      </c>
      <c r="J5" s="58">
        <f t="shared" ref="J5:J10" si="1">1544544/7</f>
        <v>220649.14285714287</v>
      </c>
      <c r="K5" s="58"/>
      <c r="L5" s="58"/>
      <c r="M5" s="58"/>
      <c r="N5" s="36">
        <f t="shared" ref="N5:N11" si="2">SUM(J5:M5)</f>
        <v>220649.14285714287</v>
      </c>
      <c r="O5" s="67"/>
      <c r="P5" s="68"/>
      <c r="Q5" s="35">
        <f t="shared" ref="Q5:Q32" si="3">O5+P5</f>
        <v>0</v>
      </c>
      <c r="R5" s="36">
        <f t="shared" ref="R5:R7" si="4">(N5)*(1.07^($B$7-B5))</f>
        <v>252621.20365714288</v>
      </c>
    </row>
    <row r="6" spans="1:19" s="2" customFormat="1" x14ac:dyDescent="0.25">
      <c r="A6" s="17"/>
      <c r="B6" s="16">
        <f t="shared" ref="B6:B31" si="5">B5+1</f>
        <v>2018</v>
      </c>
      <c r="C6" s="51"/>
      <c r="D6" s="51"/>
      <c r="E6" s="51"/>
      <c r="F6" s="51"/>
      <c r="G6" s="51"/>
      <c r="H6" s="51"/>
      <c r="I6" s="36">
        <f t="shared" si="0"/>
        <v>0</v>
      </c>
      <c r="J6" s="58">
        <f t="shared" si="1"/>
        <v>220649.14285714287</v>
      </c>
      <c r="K6" s="58"/>
      <c r="L6" s="58"/>
      <c r="M6" s="58"/>
      <c r="N6" s="36">
        <f t="shared" si="2"/>
        <v>220649.14285714287</v>
      </c>
      <c r="O6" s="67"/>
      <c r="P6" s="68"/>
      <c r="Q6" s="35">
        <f t="shared" si="3"/>
        <v>0</v>
      </c>
      <c r="R6" s="36">
        <f t="shared" si="4"/>
        <v>236094.58285714287</v>
      </c>
    </row>
    <row r="7" spans="1:19" s="2" customFormat="1" x14ac:dyDescent="0.25">
      <c r="A7" s="17">
        <v>1</v>
      </c>
      <c r="B7" s="16">
        <f t="shared" si="5"/>
        <v>2019</v>
      </c>
      <c r="C7" s="51"/>
      <c r="D7" s="51"/>
      <c r="E7" s="51"/>
      <c r="F7" s="51"/>
      <c r="G7" s="51"/>
      <c r="H7" s="51"/>
      <c r="I7" s="36">
        <f t="shared" si="0"/>
        <v>0</v>
      </c>
      <c r="J7" s="58">
        <f t="shared" si="1"/>
        <v>220649.14285714287</v>
      </c>
      <c r="K7" s="58"/>
      <c r="L7" s="58"/>
      <c r="M7" s="58"/>
      <c r="N7" s="36">
        <f t="shared" si="2"/>
        <v>220649.14285714287</v>
      </c>
      <c r="O7" s="67"/>
      <c r="P7" s="68"/>
      <c r="Q7" s="35">
        <f t="shared" si="3"/>
        <v>0</v>
      </c>
      <c r="R7" s="36">
        <f t="shared" si="4"/>
        <v>220649.14285714287</v>
      </c>
    </row>
    <row r="8" spans="1:19" s="2" customFormat="1" x14ac:dyDescent="0.25">
      <c r="A8" s="17">
        <f t="shared" ref="A8:A31" si="6">A7+1</f>
        <v>2</v>
      </c>
      <c r="B8" s="16">
        <f t="shared" si="5"/>
        <v>2020</v>
      </c>
      <c r="C8" s="51"/>
      <c r="D8" s="51"/>
      <c r="E8" s="51"/>
      <c r="F8" s="51"/>
      <c r="G8" s="51"/>
      <c r="H8" s="51"/>
      <c r="I8" s="36">
        <f t="shared" si="0"/>
        <v>0</v>
      </c>
      <c r="J8" s="58">
        <f t="shared" si="1"/>
        <v>220649.14285714287</v>
      </c>
      <c r="K8" s="58"/>
      <c r="L8" s="58"/>
      <c r="M8" s="58"/>
      <c r="N8" s="36">
        <f t="shared" si="2"/>
        <v>220649.14285714287</v>
      </c>
      <c r="O8" s="67"/>
      <c r="P8" s="68"/>
      <c r="Q8" s="35">
        <f t="shared" si="3"/>
        <v>0</v>
      </c>
      <c r="R8" s="36">
        <f>(N8)/(1.07^(A8-1))</f>
        <v>206214.15220293726</v>
      </c>
    </row>
    <row r="9" spans="1:19" s="2" customFormat="1" x14ac:dyDescent="0.25">
      <c r="A9" s="17">
        <f t="shared" si="6"/>
        <v>3</v>
      </c>
      <c r="B9" s="16">
        <f t="shared" si="5"/>
        <v>2021</v>
      </c>
      <c r="C9" s="51"/>
      <c r="D9" s="51"/>
      <c r="E9" s="51"/>
      <c r="F9" s="51"/>
      <c r="G9" s="51"/>
      <c r="H9" s="51"/>
      <c r="I9" s="36">
        <f t="shared" si="0"/>
        <v>0</v>
      </c>
      <c r="J9" s="58">
        <f t="shared" si="1"/>
        <v>220649.14285714287</v>
      </c>
      <c r="K9" s="58">
        <v>500000</v>
      </c>
      <c r="L9" s="58"/>
      <c r="M9" s="58"/>
      <c r="N9" s="36">
        <f t="shared" si="2"/>
        <v>720649.14285714284</v>
      </c>
      <c r="O9" s="67"/>
      <c r="P9" s="68"/>
      <c r="Q9" s="35">
        <f t="shared" si="3"/>
        <v>0</v>
      </c>
      <c r="R9" s="36">
        <f t="shared" ref="R9:R31" si="7">(N9)/(1.07^(A9-1))</f>
        <v>629442.87086832279</v>
      </c>
    </row>
    <row r="10" spans="1:19" s="2" customFormat="1" x14ac:dyDescent="0.25">
      <c r="A10" s="17">
        <f t="shared" si="6"/>
        <v>4</v>
      </c>
      <c r="B10" s="16">
        <f t="shared" si="5"/>
        <v>2022</v>
      </c>
      <c r="C10" s="51"/>
      <c r="D10" s="51"/>
      <c r="E10" s="51"/>
      <c r="F10" s="51"/>
      <c r="G10" s="51"/>
      <c r="H10" s="51"/>
      <c r="I10" s="36">
        <f t="shared" si="0"/>
        <v>0</v>
      </c>
      <c r="J10" s="58">
        <f t="shared" si="1"/>
        <v>220649.14285714287</v>
      </c>
      <c r="K10" s="58"/>
      <c r="L10" s="58">
        <v>4000000</v>
      </c>
      <c r="M10" s="58">
        <v>10000000</v>
      </c>
      <c r="N10" s="36">
        <f t="shared" si="2"/>
        <v>14220649.142857142</v>
      </c>
      <c r="O10" s="67"/>
      <c r="P10" s="68"/>
      <c r="Q10" s="35">
        <f t="shared" si="3"/>
        <v>0</v>
      </c>
      <c r="R10" s="36">
        <f t="shared" si="7"/>
        <v>11608285.703323998</v>
      </c>
    </row>
    <row r="11" spans="1:19" s="2" customFormat="1" x14ac:dyDescent="0.25">
      <c r="A11" s="17">
        <f t="shared" si="6"/>
        <v>5</v>
      </c>
      <c r="B11" s="16">
        <f t="shared" si="5"/>
        <v>2023</v>
      </c>
      <c r="C11" s="58">
        <f>'Delay&amp;Pollution'!K4*'Delay&amp;Pollution'!$F$37</f>
        <v>274718.21673891984</v>
      </c>
      <c r="D11" s="58">
        <f>'Delay&amp;Pollution'!J4*'Delay&amp;Pollution'!$F$38</f>
        <v>142387.69617799873</v>
      </c>
      <c r="E11" s="58">
        <f>'Delay&amp;Pollution'!L4*'Delay&amp;Pollution'!L35</f>
        <v>4944.0848148640043</v>
      </c>
      <c r="F11" s="58">
        <f>'Delay&amp;Pollution'!M4*'Delay&amp;Pollution'!K35</f>
        <v>6197.7747475461683</v>
      </c>
      <c r="G11" s="58">
        <f>Safety!I6</f>
        <v>11385.000000000002</v>
      </c>
      <c r="H11" s="58">
        <f>Safety!I8</f>
        <v>321032.99999999994</v>
      </c>
      <c r="I11" s="36">
        <f t="shared" si="0"/>
        <v>760665.77247932868</v>
      </c>
      <c r="J11" s="58"/>
      <c r="K11" s="58"/>
      <c r="L11" s="58"/>
      <c r="M11" s="58">
        <v>2610000</v>
      </c>
      <c r="N11" s="36">
        <f t="shared" si="2"/>
        <v>2610000</v>
      </c>
      <c r="O11" s="67">
        <f>(E11)/(1.03^(A11-1))</f>
        <v>4392.7553218033045</v>
      </c>
      <c r="P11" s="68">
        <f>(I11-E11)/(1.07^(A11-1))</f>
        <v>576536.45715969545</v>
      </c>
      <c r="Q11" s="35">
        <f>O11+P11</f>
        <v>580929.21248149872</v>
      </c>
      <c r="R11" s="36">
        <f t="shared" si="7"/>
        <v>1991156.5034440409</v>
      </c>
    </row>
    <row r="12" spans="1:19" s="2" customFormat="1" x14ac:dyDescent="0.25">
      <c r="A12" s="17">
        <f t="shared" si="6"/>
        <v>6</v>
      </c>
      <c r="B12" s="16">
        <f t="shared" si="5"/>
        <v>2024</v>
      </c>
      <c r="C12" s="58">
        <f>'Delay&amp;Pollution'!K5*'Delay&amp;Pollution'!$F$37</f>
        <v>279901.35989189608</v>
      </c>
      <c r="D12" s="58">
        <f>'Delay&amp;Pollution'!J5*'Delay&amp;Pollution'!$F$38</f>
        <v>231609.28445199918</v>
      </c>
      <c r="E12" s="58">
        <f>'Delay&amp;Pollution'!L5*'Delay&amp;Pollution'!L36</f>
        <v>8191.026739196569</v>
      </c>
      <c r="F12" s="58">
        <f>'Delay&amp;Pollution'!M5*'Delay&amp;Pollution'!K36</f>
        <v>10260.966832069314</v>
      </c>
      <c r="G12" s="58">
        <f>G11</f>
        <v>11385.000000000002</v>
      </c>
      <c r="H12" s="58">
        <f>H11</f>
        <v>321032.99999999994</v>
      </c>
      <c r="I12" s="36">
        <f t="shared" si="0"/>
        <v>862380.63791516097</v>
      </c>
      <c r="J12" s="58"/>
      <c r="K12" s="58"/>
      <c r="L12" s="58"/>
      <c r="M12" s="58"/>
      <c r="N12" s="36">
        <v>0</v>
      </c>
      <c r="O12" s="67">
        <f>(E12)/(1.03^(A12-1))</f>
        <v>7065.6516183565363</v>
      </c>
      <c r="P12" s="68">
        <f>(I12-E12)/(1.07^(A12-1))</f>
        <v>609025.38742699102</v>
      </c>
      <c r="Q12" s="35">
        <f t="shared" si="3"/>
        <v>616091.0390453476</v>
      </c>
      <c r="R12" s="36">
        <f t="shared" si="7"/>
        <v>0</v>
      </c>
    </row>
    <row r="13" spans="1:19" s="2" customFormat="1" x14ac:dyDescent="0.25">
      <c r="A13" s="17">
        <f t="shared" si="6"/>
        <v>7</v>
      </c>
      <c r="B13" s="16">
        <f t="shared" si="5"/>
        <v>2025</v>
      </c>
      <c r="C13" s="58">
        <f>'Delay&amp;Pollution'!K6*'Delay&amp;Pollution'!$F$37</f>
        <v>285084.50304487231</v>
      </c>
      <c r="D13" s="58">
        <f>'Delay&amp;Pollution'!J6*'Delay&amp;Pollution'!$F$38</f>
        <v>320830.872725947</v>
      </c>
      <c r="E13" s="58">
        <f>'Delay&amp;Pollution'!L6*'Delay&amp;Pollution'!L37</f>
        <v>11552.709928913835</v>
      </c>
      <c r="F13" s="58">
        <f>'Delay&amp;Pollution'!M6*'Delay&amp;Pollution'!K37</f>
        <v>14466.165850658272</v>
      </c>
      <c r="G13" s="58">
        <f t="shared" ref="G13:H28" si="8">G12</f>
        <v>11385.000000000002</v>
      </c>
      <c r="H13" s="58">
        <f t="shared" si="8"/>
        <v>321032.99999999994</v>
      </c>
      <c r="I13" s="36">
        <f t="shared" si="0"/>
        <v>964352.25155039155</v>
      </c>
      <c r="J13" s="51"/>
      <c r="K13" s="51"/>
      <c r="L13" s="51"/>
      <c r="M13" s="51"/>
      <c r="N13" s="36">
        <f>Maintenance!F17</f>
        <v>0</v>
      </c>
      <c r="O13" s="67">
        <f>(E13)/(1.03^(A13-1))</f>
        <v>9675.2126874982769</v>
      </c>
      <c r="P13" s="68">
        <f>(I13-E13)/(1.07^(A13-1))</f>
        <v>634890.56541540928</v>
      </c>
      <c r="Q13" s="35">
        <f t="shared" si="3"/>
        <v>644565.77810290758</v>
      </c>
      <c r="R13" s="36">
        <f t="shared" si="7"/>
        <v>0</v>
      </c>
    </row>
    <row r="14" spans="1:19" s="2" customFormat="1" x14ac:dyDescent="0.25">
      <c r="A14" s="17">
        <f t="shared" si="6"/>
        <v>8</v>
      </c>
      <c r="B14" s="16">
        <f t="shared" si="5"/>
        <v>2026</v>
      </c>
      <c r="C14" s="58">
        <f>'Delay&amp;Pollution'!K7*'Delay&amp;Pollution'!$F$37</f>
        <v>290267.64619784855</v>
      </c>
      <c r="D14" s="58">
        <f>'Delay&amp;Pollution'!J7*'Delay&amp;Pollution'!$F$38</f>
        <v>410052.46099989483</v>
      </c>
      <c r="E14" s="58">
        <f>'Delay&amp;Pollution'!L7*'Delay&amp;Pollution'!L38</f>
        <v>15029.134384017631</v>
      </c>
      <c r="F14" s="58">
        <f>'Delay&amp;Pollution'!M7*'Delay&amp;Pollution'!K38</f>
        <v>18742.129695107829</v>
      </c>
      <c r="G14" s="58">
        <f t="shared" si="8"/>
        <v>11385.000000000002</v>
      </c>
      <c r="H14" s="58">
        <f t="shared" si="8"/>
        <v>321032.99999999994</v>
      </c>
      <c r="I14" s="36">
        <f t="shared" si="0"/>
        <v>1066509.3712768687</v>
      </c>
      <c r="J14" s="51"/>
      <c r="K14" s="51"/>
      <c r="L14" s="51"/>
      <c r="M14" s="51"/>
      <c r="N14" s="36">
        <f>Maintenance!F18</f>
        <v>0</v>
      </c>
      <c r="O14" s="67">
        <f t="shared" ref="O14:O31" si="9">(E14)/(1.03^(A14-1))</f>
        <v>12220.061590483259</v>
      </c>
      <c r="P14" s="68">
        <f t="shared" ref="P14:P31" si="10">(I14-E14)/(1.07^(A14-1))</f>
        <v>654809.04612177168</v>
      </c>
      <c r="Q14" s="35">
        <f t="shared" si="3"/>
        <v>667029.10771225498</v>
      </c>
      <c r="R14" s="36">
        <f t="shared" si="7"/>
        <v>0</v>
      </c>
    </row>
    <row r="15" spans="1:19" s="2" customFormat="1" x14ac:dyDescent="0.25">
      <c r="A15" s="17">
        <f t="shared" si="6"/>
        <v>9</v>
      </c>
      <c r="B15" s="16">
        <f t="shared" si="5"/>
        <v>2027</v>
      </c>
      <c r="C15" s="58">
        <f>'Delay&amp;Pollution'!K8*'Delay&amp;Pollution'!$F$37</f>
        <v>295450.78935082478</v>
      </c>
      <c r="D15" s="58">
        <f>'Delay&amp;Pollution'!J8*'Delay&amp;Pollution'!$F$38</f>
        <v>499274.04927384265</v>
      </c>
      <c r="E15" s="58">
        <f>'Delay&amp;Pollution'!L8*'Delay&amp;Pollution'!L39</f>
        <v>18620.300104507951</v>
      </c>
      <c r="F15" s="58">
        <f>'Delay&amp;Pollution'!M8*'Delay&amp;Pollution'!K39</f>
        <v>23133.839532937585</v>
      </c>
      <c r="G15" s="58">
        <f t="shared" si="8"/>
        <v>11385.000000000002</v>
      </c>
      <c r="H15" s="58">
        <f t="shared" si="8"/>
        <v>321032.99999999994</v>
      </c>
      <c r="I15" s="36">
        <f t="shared" si="0"/>
        <v>1168896.9782621129</v>
      </c>
      <c r="J15" s="51"/>
      <c r="K15" s="51"/>
      <c r="L15" s="51"/>
      <c r="M15" s="51"/>
      <c r="N15" s="36">
        <f>Maintenance!F19</f>
        <v>0</v>
      </c>
      <c r="O15" s="67">
        <f t="shared" si="9"/>
        <v>14699.036848195319</v>
      </c>
      <c r="P15" s="68">
        <f t="shared" si="10"/>
        <v>669471.49945655453</v>
      </c>
      <c r="Q15" s="35">
        <f t="shared" si="3"/>
        <v>684170.5363047499</v>
      </c>
      <c r="R15" s="36">
        <f t="shared" si="7"/>
        <v>0</v>
      </c>
    </row>
    <row r="16" spans="1:19" s="2" customFormat="1" x14ac:dyDescent="0.25">
      <c r="A16" s="17">
        <f t="shared" si="6"/>
        <v>10</v>
      </c>
      <c r="B16" s="16">
        <f t="shared" si="5"/>
        <v>2028</v>
      </c>
      <c r="C16" s="58">
        <f>'Delay&amp;Pollution'!K9*'Delay&amp;Pollution'!$F$37</f>
        <v>300633.93250380101</v>
      </c>
      <c r="D16" s="58">
        <f>'Delay&amp;Pollution'!J9*'Delay&amp;Pollution'!$F$38</f>
        <v>588495.63754779054</v>
      </c>
      <c r="E16" s="58">
        <f>'Delay&amp;Pollution'!L9*'Delay&amp;Pollution'!L40</f>
        <v>22326.207090384803</v>
      </c>
      <c r="F16" s="58">
        <f>'Delay&amp;Pollution'!M9*'Delay&amp;Pollution'!K40</f>
        <v>27640.994429734761</v>
      </c>
      <c r="G16" s="58">
        <f t="shared" si="8"/>
        <v>11385.000000000002</v>
      </c>
      <c r="H16" s="58">
        <f t="shared" si="8"/>
        <v>321032.99999999994</v>
      </c>
      <c r="I16" s="36">
        <f t="shared" si="0"/>
        <v>1271514.7715717112</v>
      </c>
      <c r="J16" s="51"/>
      <c r="K16" s="51"/>
      <c r="L16" s="51"/>
      <c r="M16" s="51"/>
      <c r="N16" s="36">
        <f>Maintenance!F20</f>
        <v>0</v>
      </c>
      <c r="O16" s="67">
        <f t="shared" si="9"/>
        <v>17111.178683839837</v>
      </c>
      <c r="P16" s="68">
        <f t="shared" si="10"/>
        <v>679475.81107164721</v>
      </c>
      <c r="Q16" s="35">
        <f t="shared" si="3"/>
        <v>696586.98975548707</v>
      </c>
      <c r="R16" s="36">
        <f t="shared" si="7"/>
        <v>0</v>
      </c>
    </row>
    <row r="17" spans="1:21" s="2" customFormat="1" x14ac:dyDescent="0.25">
      <c r="A17" s="17">
        <f t="shared" si="6"/>
        <v>11</v>
      </c>
      <c r="B17" s="16">
        <f t="shared" si="5"/>
        <v>2029</v>
      </c>
      <c r="C17" s="58">
        <f>'Delay&amp;Pollution'!K10*'Delay&amp;Pollution'!$F$37</f>
        <v>305817.07565677725</v>
      </c>
      <c r="D17" s="58">
        <f>'Delay&amp;Pollution'!J10*'Delay&amp;Pollution'!$F$38</f>
        <v>677717.22582173836</v>
      </c>
      <c r="E17" s="58">
        <f>'Delay&amp;Pollution'!L10*'Delay&amp;Pollution'!L41</f>
        <v>26146.855341648177</v>
      </c>
      <c r="F17" s="58">
        <f>'Delay&amp;Pollution'!M10*'Delay&amp;Pollution'!K41</f>
        <v>32268.945500813657</v>
      </c>
      <c r="G17" s="58">
        <f t="shared" si="8"/>
        <v>11385.000000000002</v>
      </c>
      <c r="H17" s="58">
        <f t="shared" si="8"/>
        <v>321032.99999999994</v>
      </c>
      <c r="I17" s="36">
        <f t="shared" si="0"/>
        <v>1374368.1023209775</v>
      </c>
      <c r="J17" s="51"/>
      <c r="K17" s="51"/>
      <c r="L17" s="51"/>
      <c r="M17" s="51"/>
      <c r="N17" s="36">
        <f>Maintenance!F21</f>
        <v>0</v>
      </c>
      <c r="O17" s="67">
        <f t="shared" si="9"/>
        <v>19455.715953405343</v>
      </c>
      <c r="P17" s="68">
        <f t="shared" si="10"/>
        <v>685367.31654292857</v>
      </c>
      <c r="Q17" s="35">
        <f t="shared" si="3"/>
        <v>704823.03249633394</v>
      </c>
      <c r="R17" s="36">
        <f t="shared" si="7"/>
        <v>0</v>
      </c>
    </row>
    <row r="18" spans="1:21" s="2" customFormat="1" x14ac:dyDescent="0.25">
      <c r="A18" s="17">
        <f t="shared" si="6"/>
        <v>12</v>
      </c>
      <c r="B18" s="16">
        <f t="shared" si="5"/>
        <v>2030</v>
      </c>
      <c r="C18" s="58">
        <f>'Delay&amp;Pollution'!K11*'Delay&amp;Pollution'!$F$37</f>
        <v>311000.21880975342</v>
      </c>
      <c r="D18" s="58">
        <f>'Delay&amp;Pollution'!J11*'Delay&amp;Pollution'!$F$38</f>
        <v>766938.81409568619</v>
      </c>
      <c r="E18" s="58">
        <f>'Delay&amp;Pollution'!L11*'Delay&amp;Pollution'!L42</f>
        <v>30082.244858298083</v>
      </c>
      <c r="F18" s="58">
        <f>'Delay&amp;Pollution'!M11*'Delay&amp;Pollution'!K42</f>
        <v>37016.381775581191</v>
      </c>
      <c r="G18" s="58">
        <f t="shared" si="8"/>
        <v>11385.000000000002</v>
      </c>
      <c r="H18" s="58">
        <f t="shared" si="8"/>
        <v>321032.99999999994</v>
      </c>
      <c r="I18" s="36">
        <f t="shared" si="0"/>
        <v>1477455.6595393189</v>
      </c>
      <c r="J18" s="51"/>
      <c r="K18" s="51"/>
      <c r="L18" s="51"/>
      <c r="M18" s="51"/>
      <c r="N18" s="36">
        <f>Maintenance!F22</f>
        <v>0</v>
      </c>
      <c r="O18" s="67">
        <f t="shared" si="9"/>
        <v>21732.053733488254</v>
      </c>
      <c r="P18" s="68">
        <f t="shared" si="10"/>
        <v>687636.68299785629</v>
      </c>
      <c r="Q18" s="35">
        <f t="shared" si="3"/>
        <v>709368.7367313446</v>
      </c>
      <c r="R18" s="36">
        <f t="shared" si="7"/>
        <v>0</v>
      </c>
    </row>
    <row r="19" spans="1:21" s="2" customFormat="1" x14ac:dyDescent="0.25">
      <c r="A19" s="17">
        <f t="shared" si="6"/>
        <v>13</v>
      </c>
      <c r="B19" s="16">
        <f t="shared" si="5"/>
        <v>2031</v>
      </c>
      <c r="C19" s="58">
        <f>'Delay&amp;Pollution'!K12*'Delay&amp;Pollution'!$F$37</f>
        <v>316183.36196272966</v>
      </c>
      <c r="D19" s="58">
        <f>'Delay&amp;Pollution'!J12*'Delay&amp;Pollution'!$F$38</f>
        <v>856160.40236963402</v>
      </c>
      <c r="E19" s="58">
        <f>'Delay&amp;Pollution'!L12*'Delay&amp;Pollution'!L43</f>
        <v>34132.375640334525</v>
      </c>
      <c r="F19" s="58">
        <f>'Delay&amp;Pollution'!M12*'Delay&amp;Pollution'!K43</f>
        <v>41322.671030306687</v>
      </c>
      <c r="G19" s="58">
        <f t="shared" si="8"/>
        <v>11385.000000000002</v>
      </c>
      <c r="H19" s="58">
        <f t="shared" si="8"/>
        <v>321032.99999999994</v>
      </c>
      <c r="I19" s="36">
        <f t="shared" si="0"/>
        <v>1580216.8110030049</v>
      </c>
      <c r="J19" s="51"/>
      <c r="K19" s="51"/>
      <c r="L19" s="51"/>
      <c r="M19" s="51"/>
      <c r="N19" s="36">
        <f>Maintenance!F23</f>
        <v>0</v>
      </c>
      <c r="O19" s="67">
        <f t="shared" si="9"/>
        <v>23939.761537319388</v>
      </c>
      <c r="P19" s="68">
        <f t="shared" si="10"/>
        <v>686479.9792969852</v>
      </c>
      <c r="Q19" s="35">
        <f t="shared" si="3"/>
        <v>710419.7408343046</v>
      </c>
      <c r="R19" s="36">
        <f t="shared" si="7"/>
        <v>0</v>
      </c>
    </row>
    <row r="20" spans="1:21" s="2" customFormat="1" x14ac:dyDescent="0.25">
      <c r="A20" s="17">
        <f t="shared" si="6"/>
        <v>14</v>
      </c>
      <c r="B20" s="16">
        <f t="shared" si="5"/>
        <v>2032</v>
      </c>
      <c r="C20" s="58">
        <f>'Delay&amp;Pollution'!K13*'Delay&amp;Pollution'!$F$37</f>
        <v>321366.50511570589</v>
      </c>
      <c r="D20" s="58">
        <f>'Delay&amp;Pollution'!J13*'Delay&amp;Pollution'!$F$38</f>
        <v>945381.99064358184</v>
      </c>
      <c r="E20" s="58">
        <f>'Delay&amp;Pollution'!L13*'Delay&amp;Pollution'!L44</f>
        <v>38297.247687757481</v>
      </c>
      <c r="F20" s="58">
        <f>'Delay&amp;Pollution'!M13*'Delay&amp;Pollution'!K44</f>
        <v>45628.960285032183</v>
      </c>
      <c r="G20" s="58">
        <f t="shared" si="8"/>
        <v>11385.000000000002</v>
      </c>
      <c r="H20" s="58">
        <f t="shared" si="8"/>
        <v>321032.99999999994</v>
      </c>
      <c r="I20" s="36">
        <f t="shared" si="0"/>
        <v>1683092.7037320775</v>
      </c>
      <c r="J20" s="51"/>
      <c r="K20" s="51"/>
      <c r="L20" s="51"/>
      <c r="M20" s="51"/>
      <c r="N20" s="36">
        <f>Maintenance!F24</f>
        <v>0</v>
      </c>
      <c r="O20" s="67">
        <f t="shared" si="9"/>
        <v>26078.562131029092</v>
      </c>
      <c r="P20" s="68">
        <f t="shared" si="10"/>
        <v>682531.63830700668</v>
      </c>
      <c r="Q20" s="35">
        <f t="shared" si="3"/>
        <v>708610.20043803577</v>
      </c>
      <c r="R20" s="36">
        <f t="shared" si="7"/>
        <v>0</v>
      </c>
    </row>
    <row r="21" spans="1:21" s="2" customFormat="1" x14ac:dyDescent="0.25">
      <c r="A21" s="17">
        <f t="shared" si="6"/>
        <v>15</v>
      </c>
      <c r="B21" s="16">
        <f t="shared" si="5"/>
        <v>2033</v>
      </c>
      <c r="C21" s="58">
        <f>'Delay&amp;Pollution'!K14*'Delay&amp;Pollution'!$F$37</f>
        <v>326549.64826868213</v>
      </c>
      <c r="D21" s="58">
        <f>'Delay&amp;Pollution'!J14*'Delay&amp;Pollution'!$F$38</f>
        <v>1034603.5789175297</v>
      </c>
      <c r="E21" s="58">
        <f>'Delay&amp;Pollution'!L14*'Delay&amp;Pollution'!L45</f>
        <v>42576.861000566969</v>
      </c>
      <c r="F21" s="58">
        <f>'Delay&amp;Pollution'!M14*'Delay&amp;Pollution'!K45</f>
        <v>49935.249539757686</v>
      </c>
      <c r="G21" s="58">
        <f t="shared" si="8"/>
        <v>11385.000000000002</v>
      </c>
      <c r="H21" s="58">
        <f t="shared" si="8"/>
        <v>321032.99999999994</v>
      </c>
      <c r="I21" s="36">
        <f t="shared" si="0"/>
        <v>1786083.3377265364</v>
      </c>
      <c r="J21" s="51"/>
      <c r="K21" s="51"/>
      <c r="L21" s="51"/>
      <c r="M21" s="51"/>
      <c r="N21" s="36">
        <f>Maintenance!F25</f>
        <v>0</v>
      </c>
      <c r="O21" s="67">
        <f t="shared" si="9"/>
        <v>28148.320923339175</v>
      </c>
      <c r="P21" s="68">
        <f t="shared" si="10"/>
        <v>676161.87149970222</v>
      </c>
      <c r="Q21" s="35">
        <f t="shared" si="3"/>
        <v>704310.19242304144</v>
      </c>
      <c r="R21" s="36">
        <f t="shared" si="7"/>
        <v>0</v>
      </c>
    </row>
    <row r="22" spans="1:21" s="2" customFormat="1" x14ac:dyDescent="0.25">
      <c r="A22" s="17">
        <f t="shared" si="6"/>
        <v>16</v>
      </c>
      <c r="B22" s="16">
        <f t="shared" si="5"/>
        <v>2034</v>
      </c>
      <c r="C22" s="58">
        <f>'Delay&amp;Pollution'!K15*'Delay&amp;Pollution'!$F$37</f>
        <v>331732.79142165836</v>
      </c>
      <c r="D22" s="58">
        <f>'Delay&amp;Pollution'!J15*'Delay&amp;Pollution'!$F$38</f>
        <v>1123825.1671914775</v>
      </c>
      <c r="E22" s="58">
        <f>'Delay&amp;Pollution'!L15*'Delay&amp;Pollution'!L46</f>
        <v>46971.215578762989</v>
      </c>
      <c r="F22" s="58">
        <f>'Delay&amp;Pollution'!M15*'Delay&amp;Pollution'!K46</f>
        <v>54241.538794483189</v>
      </c>
      <c r="G22" s="58">
        <f t="shared" si="8"/>
        <v>11385.000000000002</v>
      </c>
      <c r="H22" s="58">
        <f t="shared" si="8"/>
        <v>321032.99999999994</v>
      </c>
      <c r="I22" s="36">
        <f t="shared" si="0"/>
        <v>1889188.7129863822</v>
      </c>
      <c r="J22" s="51"/>
      <c r="K22" s="51"/>
      <c r="L22" s="51"/>
      <c r="M22" s="51"/>
      <c r="N22" s="36">
        <f>Maintenance!F26</f>
        <v>0</v>
      </c>
      <c r="O22" s="67">
        <f t="shared" si="9"/>
        <v>30149.035902975855</v>
      </c>
      <c r="P22" s="68">
        <f t="shared" si="10"/>
        <v>667704.39925090061</v>
      </c>
      <c r="Q22" s="35">
        <f t="shared" si="3"/>
        <v>697853.43515387643</v>
      </c>
      <c r="R22" s="36">
        <f t="shared" si="7"/>
        <v>0</v>
      </c>
    </row>
    <row r="23" spans="1:21" s="2" customFormat="1" x14ac:dyDescent="0.25">
      <c r="A23" s="17">
        <f t="shared" si="6"/>
        <v>17</v>
      </c>
      <c r="B23" s="16">
        <f t="shared" si="5"/>
        <v>2035</v>
      </c>
      <c r="C23" s="58">
        <f>'Delay&amp;Pollution'!K16*'Delay&amp;Pollution'!$F$37</f>
        <v>336915.93457501486</v>
      </c>
      <c r="D23" s="58">
        <f>'Delay&amp;Pollution'!J16*'Delay&amp;Pollution'!$F$38</f>
        <v>1213046.7554660565</v>
      </c>
      <c r="E23" s="58">
        <f>'Delay&amp;Pollution'!L16*'Delay&amp;Pollution'!L47</f>
        <v>51480.31142237231</v>
      </c>
      <c r="F23" s="58">
        <f>'Delay&amp;Pollution'!M16*'Delay&amp;Pollution'!K47</f>
        <v>58547.82804923915</v>
      </c>
      <c r="G23" s="58">
        <f t="shared" si="8"/>
        <v>11385.000000000002</v>
      </c>
      <c r="H23" s="58">
        <f t="shared" si="8"/>
        <v>321032.99999999994</v>
      </c>
      <c r="I23" s="36">
        <f t="shared" si="0"/>
        <v>1992408.8295126827</v>
      </c>
      <c r="J23" s="51"/>
      <c r="K23" s="51"/>
      <c r="L23" s="51"/>
      <c r="M23" s="51"/>
      <c r="N23" s="36">
        <f>Maintenance!F27</f>
        <v>0</v>
      </c>
      <c r="O23" s="67">
        <f t="shared" si="9"/>
        <v>32080.828099178045</v>
      </c>
      <c r="P23" s="68">
        <f t="shared" si="10"/>
        <v>657459.64092726808</v>
      </c>
      <c r="Q23" s="35">
        <f t="shared" si="3"/>
        <v>689540.46902644611</v>
      </c>
      <c r="R23" s="36">
        <f t="shared" si="7"/>
        <v>0</v>
      </c>
    </row>
    <row r="24" spans="1:21" s="2" customFormat="1" x14ac:dyDescent="0.25">
      <c r="A24" s="17">
        <f t="shared" si="6"/>
        <v>18</v>
      </c>
      <c r="B24" s="16">
        <f t="shared" si="5"/>
        <v>2036</v>
      </c>
      <c r="C24" s="58">
        <f>'Delay&amp;Pollution'!K17*'Delay&amp;Pollution'!$F$37</f>
        <v>342099.0777279911</v>
      </c>
      <c r="D24" s="58">
        <f>'Delay&amp;Pollution'!J17*'Delay&amp;Pollution'!$F$38</f>
        <v>1302268.3437400043</v>
      </c>
      <c r="E24" s="58">
        <f>'Delay&amp;Pollution'!L17*'Delay&amp;Pollution'!L48</f>
        <v>56104.148531341802</v>
      </c>
      <c r="F24" s="58">
        <f>'Delay&amp;Pollution'!M17*'Delay&amp;Pollution'!K48</f>
        <v>62854.117303964646</v>
      </c>
      <c r="G24" s="58">
        <f t="shared" si="8"/>
        <v>11385.000000000002</v>
      </c>
      <c r="H24" s="58">
        <f t="shared" si="8"/>
        <v>321032.99999999994</v>
      </c>
      <c r="I24" s="36">
        <f t="shared" si="0"/>
        <v>2095743.6873033019</v>
      </c>
      <c r="J24" s="51"/>
      <c r="K24" s="51"/>
      <c r="L24" s="51"/>
      <c r="M24" s="51"/>
      <c r="N24" s="36">
        <f>Maintenance!F28</f>
        <v>0</v>
      </c>
      <c r="O24" s="67">
        <f t="shared" si="9"/>
        <v>33943.932541579561</v>
      </c>
      <c r="P24" s="68">
        <f t="shared" si="10"/>
        <v>645697.64375323209</v>
      </c>
      <c r="Q24" s="35">
        <f t="shared" si="3"/>
        <v>679641.57629481168</v>
      </c>
      <c r="R24" s="36">
        <f t="shared" si="7"/>
        <v>0</v>
      </c>
    </row>
    <row r="25" spans="1:21" s="2" customFormat="1" x14ac:dyDescent="0.25">
      <c r="A25" s="17">
        <f t="shared" si="6"/>
        <v>19</v>
      </c>
      <c r="B25" s="16">
        <f t="shared" si="5"/>
        <v>2037</v>
      </c>
      <c r="C25" s="58">
        <f>'Delay&amp;Pollution'!K18*'Delay&amp;Pollution'!$F$37</f>
        <v>347282.22088096733</v>
      </c>
      <c r="D25" s="58">
        <f>'Delay&amp;Pollution'!J18*'Delay&amp;Pollution'!$F$38</f>
        <v>1391489.9320139522</v>
      </c>
      <c r="E25" s="58">
        <f>'Delay&amp;Pollution'!L18*'Delay&amp;Pollution'!L49</f>
        <v>60842.726905697804</v>
      </c>
      <c r="F25" s="58">
        <f>'Delay&amp;Pollution'!M18*'Delay&amp;Pollution'!K49</f>
        <v>67160.406558690142</v>
      </c>
      <c r="G25" s="58">
        <f t="shared" si="8"/>
        <v>11385.000000000002</v>
      </c>
      <c r="H25" s="58">
        <f t="shared" si="8"/>
        <v>321032.99999999994</v>
      </c>
      <c r="I25" s="36">
        <f t="shared" si="0"/>
        <v>2199193.2863593074</v>
      </c>
      <c r="J25" s="51"/>
      <c r="K25" s="51"/>
      <c r="L25" s="51"/>
      <c r="M25" s="51"/>
      <c r="N25" s="36">
        <f>Maintenance!F29</f>
        <v>1135329</v>
      </c>
      <c r="O25" s="67">
        <f t="shared" si="9"/>
        <v>35738.68969707701</v>
      </c>
      <c r="P25" s="68">
        <f t="shared" si="10"/>
        <v>632660.77098842559</v>
      </c>
      <c r="Q25" s="35">
        <f t="shared" si="3"/>
        <v>668399.46068550262</v>
      </c>
      <c r="R25" s="36">
        <f t="shared" si="7"/>
        <v>335902.88425348385</v>
      </c>
    </row>
    <row r="26" spans="1:21" s="2" customFormat="1" x14ac:dyDescent="0.25">
      <c r="A26" s="17">
        <f t="shared" si="6"/>
        <v>20</v>
      </c>
      <c r="B26" s="16">
        <f t="shared" si="5"/>
        <v>2038</v>
      </c>
      <c r="C26" s="58">
        <f>'Delay&amp;Pollution'!K19*'Delay&amp;Pollution'!$F$37</f>
        <v>352465.36403403862</v>
      </c>
      <c r="D26" s="58">
        <f>'Delay&amp;Pollution'!J19*'Delay&amp;Pollution'!$F$38</f>
        <v>1480711.5202879</v>
      </c>
      <c r="E26" s="58">
        <f>'Delay&amp;Pollution'!L19*'Delay&amp;Pollution'!L50</f>
        <v>65696.046545440346</v>
      </c>
      <c r="F26" s="58">
        <f>'Delay&amp;Pollution'!M19*'Delay&amp;Pollution'!K50</f>
        <v>71466.695813415645</v>
      </c>
      <c r="G26" s="58">
        <f t="shared" si="8"/>
        <v>11385.000000000002</v>
      </c>
      <c r="H26" s="58">
        <f t="shared" si="8"/>
        <v>321032.99999999994</v>
      </c>
      <c r="I26" s="36">
        <f t="shared" si="0"/>
        <v>2302757.6266807946</v>
      </c>
      <c r="J26" s="51"/>
      <c r="K26" s="51"/>
      <c r="L26" s="51"/>
      <c r="M26" s="51"/>
      <c r="N26" s="36">
        <f>Maintenance!F30</f>
        <v>0</v>
      </c>
      <c r="O26" s="67">
        <f t="shared" si="9"/>
        <v>37465.537361650466</v>
      </c>
      <c r="P26" s="68">
        <f t="shared" si="10"/>
        <v>618566.16836582136</v>
      </c>
      <c r="Q26" s="35">
        <f t="shared" si="3"/>
        <v>656031.70572747185</v>
      </c>
      <c r="R26" s="36">
        <f t="shared" si="7"/>
        <v>0</v>
      </c>
    </row>
    <row r="27" spans="1:21" s="2" customFormat="1" x14ac:dyDescent="0.25">
      <c r="A27" s="17">
        <f t="shared" si="6"/>
        <v>21</v>
      </c>
      <c r="B27" s="16">
        <f t="shared" si="5"/>
        <v>2039</v>
      </c>
      <c r="C27" s="58">
        <f>'Delay&amp;Pollution'!K20*'Delay&amp;Pollution'!$F$37</f>
        <v>357648.50718710996</v>
      </c>
      <c r="D27" s="58">
        <f>'Delay&amp;Pollution'!J20*'Delay&amp;Pollution'!$F$38</f>
        <v>1569933.1085618478</v>
      </c>
      <c r="E27" s="58">
        <f>'Delay&amp;Pollution'!L20*'Delay&amp;Pollution'!L51</f>
        <v>70664.107450569398</v>
      </c>
      <c r="F27" s="58">
        <f>'Delay&amp;Pollution'!M20*'Delay&amp;Pollution'!K51</f>
        <v>75772.985068141148</v>
      </c>
      <c r="G27" s="58">
        <f t="shared" si="8"/>
        <v>11385.000000000002</v>
      </c>
      <c r="H27" s="58">
        <f t="shared" si="8"/>
        <v>321032.99999999994</v>
      </c>
      <c r="I27" s="36">
        <f t="shared" si="0"/>
        <v>2406436.7082676683</v>
      </c>
      <c r="J27" s="51"/>
      <c r="K27" s="51"/>
      <c r="L27" s="51"/>
      <c r="M27" s="51"/>
      <c r="N27" s="36">
        <f>Maintenance!F31</f>
        <v>0</v>
      </c>
      <c r="O27" s="67">
        <f t="shared" si="9"/>
        <v>39125.002986598221</v>
      </c>
      <c r="P27" s="68">
        <f t="shared" si="10"/>
        <v>603608.02630311123</v>
      </c>
      <c r="Q27" s="35">
        <f t="shared" si="3"/>
        <v>642733.0292897094</v>
      </c>
      <c r="R27" s="36">
        <f t="shared" si="7"/>
        <v>0</v>
      </c>
    </row>
    <row r="28" spans="1:21" s="2" customFormat="1" x14ac:dyDescent="0.25">
      <c r="A28" s="17">
        <f t="shared" si="6"/>
        <v>22</v>
      </c>
      <c r="B28" s="16">
        <f t="shared" si="5"/>
        <v>2040</v>
      </c>
      <c r="C28" s="58">
        <f>'Delay&amp;Pollution'!K21*'Delay&amp;Pollution'!$F$37</f>
        <v>362831.65034018125</v>
      </c>
      <c r="D28" s="58">
        <f>'Delay&amp;Pollution'!J21*'Delay&amp;Pollution'!$F$38</f>
        <v>1659154.6968357957</v>
      </c>
      <c r="E28" s="58">
        <f>'Delay&amp;Pollution'!L21*'Delay&amp;Pollution'!L52</f>
        <v>75746.909621084997</v>
      </c>
      <c r="F28" s="58">
        <f>'Delay&amp;Pollution'!M21*'Delay&amp;Pollution'!K52</f>
        <v>80079.274322866651</v>
      </c>
      <c r="G28" s="58">
        <f t="shared" si="8"/>
        <v>11385.000000000002</v>
      </c>
      <c r="H28" s="58">
        <f t="shared" si="8"/>
        <v>321032.99999999994</v>
      </c>
      <c r="I28" s="36">
        <f t="shared" si="0"/>
        <v>2510230.5311199282</v>
      </c>
      <c r="J28" s="51"/>
      <c r="K28" s="51"/>
      <c r="L28" s="51"/>
      <c r="M28" s="51"/>
      <c r="N28" s="36">
        <f>Maintenance!F32</f>
        <v>0</v>
      </c>
      <c r="O28" s="67">
        <f t="shared" si="9"/>
        <v>40717.696419163491</v>
      </c>
      <c r="P28" s="68">
        <f t="shared" si="10"/>
        <v>587959.65405086614</v>
      </c>
      <c r="Q28" s="35">
        <f t="shared" si="3"/>
        <v>628677.35047002963</v>
      </c>
      <c r="R28" s="36">
        <f t="shared" si="7"/>
        <v>0</v>
      </c>
    </row>
    <row r="29" spans="1:21" s="2" customFormat="1" x14ac:dyDescent="0.25">
      <c r="A29" s="17">
        <f t="shared" si="6"/>
        <v>23</v>
      </c>
      <c r="B29" s="16">
        <f t="shared" si="5"/>
        <v>2041</v>
      </c>
      <c r="C29" s="58">
        <f>'Delay&amp;Pollution'!K22*'Delay&amp;Pollution'!$F$37</f>
        <v>368014.79349325254</v>
      </c>
      <c r="D29" s="58">
        <f>'Delay&amp;Pollution'!J22*'Delay&amp;Pollution'!$F$38</f>
        <v>1748376.2851097435</v>
      </c>
      <c r="E29" s="58">
        <f>'Delay&amp;Pollution'!L22*'Delay&amp;Pollution'!L53</f>
        <v>80944.453056987113</v>
      </c>
      <c r="F29" s="58">
        <f>'Delay&amp;Pollution'!M22*'Delay&amp;Pollution'!K53</f>
        <v>84385.563577592126</v>
      </c>
      <c r="G29" s="58">
        <f t="shared" ref="G29:H31" si="11">G28</f>
        <v>11385.000000000002</v>
      </c>
      <c r="H29" s="58">
        <f t="shared" si="11"/>
        <v>321032.99999999994</v>
      </c>
      <c r="I29" s="36">
        <f t="shared" si="0"/>
        <v>2614139.095237575</v>
      </c>
      <c r="J29" s="51"/>
      <c r="K29" s="51"/>
      <c r="L29" s="51"/>
      <c r="M29" s="51"/>
      <c r="N29" s="36">
        <f>Maintenance!F33</f>
        <v>0</v>
      </c>
      <c r="O29" s="67">
        <f t="shared" si="9"/>
        <v>42244.303038484053</v>
      </c>
      <c r="P29" s="68">
        <f t="shared" si="10"/>
        <v>571775.38070201979</v>
      </c>
      <c r="Q29" s="35">
        <f t="shared" si="3"/>
        <v>614019.68374050385</v>
      </c>
      <c r="R29" s="36">
        <f t="shared" si="7"/>
        <v>0</v>
      </c>
    </row>
    <row r="30" spans="1:21" s="2" customFormat="1" x14ac:dyDescent="0.25">
      <c r="A30" s="17">
        <f t="shared" si="6"/>
        <v>24</v>
      </c>
      <c r="B30" s="16">
        <f t="shared" si="5"/>
        <v>2042</v>
      </c>
      <c r="C30" s="58">
        <f>'Delay&amp;Pollution'!K23*'Delay&amp;Pollution'!$F$37</f>
        <v>373197.93664632383</v>
      </c>
      <c r="D30" s="58">
        <f>'Delay&amp;Pollution'!J23*'Delay&amp;Pollution'!$F$38</f>
        <v>1837597.8733836913</v>
      </c>
      <c r="E30" s="58">
        <f>'Delay&amp;Pollution'!L23*'Delay&amp;Pollution'!L54</f>
        <v>86256.737758275762</v>
      </c>
      <c r="F30" s="58">
        <f>'Delay&amp;Pollution'!M23*'Delay&amp;Pollution'!K54</f>
        <v>88691.852832317629</v>
      </c>
      <c r="G30" s="58">
        <f t="shared" si="11"/>
        <v>11385.000000000002</v>
      </c>
      <c r="H30" s="58">
        <f t="shared" si="11"/>
        <v>321032.99999999994</v>
      </c>
      <c r="I30" s="36">
        <f t="shared" si="0"/>
        <v>2718162.4006206086</v>
      </c>
      <c r="J30" s="51"/>
      <c r="K30" s="51"/>
      <c r="L30" s="51"/>
      <c r="M30" s="51"/>
      <c r="N30" s="36">
        <f>Maintenance!F34</f>
        <v>0</v>
      </c>
      <c r="O30" s="67">
        <f t="shared" si="9"/>
        <v>43705.577268582405</v>
      </c>
      <c r="P30" s="68">
        <f t="shared" si="10"/>
        <v>555192.29683942371</v>
      </c>
      <c r="Q30" s="35">
        <f t="shared" si="3"/>
        <v>598897.87410800613</v>
      </c>
      <c r="R30" s="36">
        <f t="shared" si="7"/>
        <v>0</v>
      </c>
      <c r="T30" s="49">
        <f>SUM(P13:P30)</f>
        <v>11597448.391890932</v>
      </c>
      <c r="U30" s="49">
        <f>SUM(R4:R24)</f>
        <v>15414768.847123869</v>
      </c>
    </row>
    <row r="31" spans="1:21" s="2" customFormat="1" x14ac:dyDescent="0.25">
      <c r="A31" s="17">
        <f t="shared" si="6"/>
        <v>25</v>
      </c>
      <c r="B31" s="16">
        <f t="shared" si="5"/>
        <v>2043</v>
      </c>
      <c r="C31" s="58">
        <f>'Delay&amp;Pollution'!K24*'Delay&amp;Pollution'!$F$37</f>
        <v>378381.07979939511</v>
      </c>
      <c r="D31" s="58">
        <f>'Delay&amp;Pollution'!J24*'Delay&amp;Pollution'!$F$38</f>
        <v>1926819.4616576391</v>
      </c>
      <c r="E31" s="58">
        <f>'Delay&amp;Pollution'!L24*'Delay&amp;Pollution'!L55</f>
        <v>91683.763724950943</v>
      </c>
      <c r="F31" s="58">
        <f>'Delay&amp;Pollution'!M24*'Delay&amp;Pollution'!K55</f>
        <v>92998.142087043132</v>
      </c>
      <c r="G31" s="58">
        <f t="shared" si="11"/>
        <v>11385.000000000002</v>
      </c>
      <c r="H31" s="58">
        <f t="shared" si="11"/>
        <v>321032.99999999994</v>
      </c>
      <c r="I31" s="36">
        <f t="shared" si="0"/>
        <v>2822300.4472690285</v>
      </c>
      <c r="J31" s="51"/>
      <c r="K31" s="51"/>
      <c r="L31" s="51"/>
      <c r="M31" s="51"/>
      <c r="N31" s="36">
        <f>Maintenance!F35</f>
        <v>0</v>
      </c>
      <c r="O31" s="67">
        <f t="shared" si="9"/>
        <v>45102.3364508839</v>
      </c>
      <c r="P31" s="68">
        <f t="shared" si="10"/>
        <v>538331.84953650692</v>
      </c>
      <c r="Q31" s="35">
        <f t="shared" si="3"/>
        <v>583434.18598739081</v>
      </c>
      <c r="R31" s="36">
        <f t="shared" si="7"/>
        <v>0</v>
      </c>
    </row>
    <row r="32" spans="1:21" x14ac:dyDescent="0.25">
      <c r="A32" s="115" t="s">
        <v>51</v>
      </c>
      <c r="B32" s="116"/>
      <c r="C32" s="59"/>
      <c r="D32" s="59"/>
      <c r="E32" s="59"/>
      <c r="F32" s="59"/>
      <c r="G32" s="59"/>
      <c r="H32" s="59"/>
      <c r="I32" s="36">
        <f>((40-20)/40)*(M10+M11)+((6/12)/12)*N25</f>
        <v>6352305.375</v>
      </c>
      <c r="J32" s="51"/>
      <c r="K32" s="51"/>
      <c r="L32" s="51"/>
      <c r="M32" s="51"/>
      <c r="N32" s="42"/>
      <c r="O32" s="69"/>
      <c r="P32" s="68">
        <f>(I32)/(1.07^(A31-1))</f>
        <v>1252335.5335638213</v>
      </c>
      <c r="Q32" s="35">
        <f t="shared" si="3"/>
        <v>1252335.5335638213</v>
      </c>
      <c r="R32" s="36"/>
    </row>
    <row r="33" spans="1:18" ht="15.75" thickBot="1" x14ac:dyDescent="0.3">
      <c r="A33" s="117" t="s">
        <v>3</v>
      </c>
      <c r="B33" s="118"/>
      <c r="C33" s="52"/>
      <c r="D33" s="52"/>
      <c r="E33" s="52"/>
      <c r="F33" s="52"/>
      <c r="G33" s="52"/>
      <c r="H33" s="52"/>
      <c r="I33" s="38">
        <f>SUM(I11:I32)</f>
        <v>43898403.097734764</v>
      </c>
      <c r="J33" s="52"/>
      <c r="K33" s="52"/>
      <c r="L33" s="52"/>
      <c r="M33" s="52"/>
      <c r="N33" s="38">
        <f>SUM(N4:N32)</f>
        <v>19789873</v>
      </c>
      <c r="O33" s="70">
        <f>SUM(O11:O31)</f>
        <v>564791.25079493085</v>
      </c>
      <c r="P33" s="71">
        <f>SUM(P11:P32)</f>
        <v>14573677.619577942</v>
      </c>
      <c r="Q33" s="37">
        <f>SUM(Q11:Q32)</f>
        <v>15138468.870372873</v>
      </c>
      <c r="R33" s="38">
        <f>SUM(R4:R32)</f>
        <v>15750671.731377352</v>
      </c>
    </row>
    <row r="34" spans="1:18" ht="15.75" thickTop="1" x14ac:dyDescent="0.25">
      <c r="A34" s="119" t="s">
        <v>12</v>
      </c>
      <c r="B34" s="120"/>
      <c r="C34" s="53"/>
      <c r="D34" s="53"/>
      <c r="E34" s="53"/>
      <c r="F34" s="53"/>
      <c r="G34" s="53"/>
      <c r="H34" s="53"/>
      <c r="I34" s="39"/>
      <c r="J34" s="53"/>
      <c r="K34" s="53"/>
      <c r="L34" s="53"/>
      <c r="M34" s="53"/>
      <c r="N34" s="39"/>
      <c r="O34" s="66"/>
      <c r="P34" s="121">
        <f>Q33/R33</f>
        <v>0.96113163479974684</v>
      </c>
      <c r="Q34" s="122"/>
      <c r="R34" s="123"/>
    </row>
    <row r="36" spans="1:18" x14ac:dyDescent="0.25">
      <c r="N36" s="21"/>
    </row>
    <row r="37" spans="1:18" x14ac:dyDescent="0.25">
      <c r="A37" t="s">
        <v>95</v>
      </c>
      <c r="R37" s="21"/>
    </row>
    <row r="38" spans="1:18" x14ac:dyDescent="0.25">
      <c r="A38" t="s">
        <v>96</v>
      </c>
    </row>
    <row r="39" spans="1:18" ht="18.75" x14ac:dyDescent="0.35">
      <c r="A39" t="s">
        <v>101</v>
      </c>
    </row>
    <row r="40" spans="1:18" ht="18.75" x14ac:dyDescent="0.35">
      <c r="A40" t="s">
        <v>102</v>
      </c>
    </row>
    <row r="41" spans="1:18" x14ac:dyDescent="0.25">
      <c r="A41" t="s">
        <v>103</v>
      </c>
    </row>
    <row r="42" spans="1:18" ht="17.25" x14ac:dyDescent="0.25">
      <c r="A42" t="s">
        <v>104</v>
      </c>
    </row>
    <row r="43" spans="1:18" x14ac:dyDescent="0.25">
      <c r="A43" t="s">
        <v>50</v>
      </c>
    </row>
    <row r="44" spans="1:18" x14ac:dyDescent="0.25">
      <c r="A44" t="s">
        <v>105</v>
      </c>
    </row>
    <row r="45" spans="1:18" x14ac:dyDescent="0.25">
      <c r="A45" t="s">
        <v>52</v>
      </c>
    </row>
  </sheetData>
  <mergeCells count="4">
    <mergeCell ref="A32:B32"/>
    <mergeCell ref="A33:B33"/>
    <mergeCell ref="A34:B34"/>
    <mergeCell ref="P34:R34"/>
  </mergeCell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5"/>
  <sheetViews>
    <sheetView showGridLines="0" workbookViewId="0">
      <selection activeCell="L4" sqref="L4"/>
    </sheetView>
  </sheetViews>
  <sheetFormatPr defaultRowHeight="15" x14ac:dyDescent="0.25"/>
  <cols>
    <col min="1" max="1" width="25.42578125" customWidth="1"/>
    <col min="2" max="2" width="13" customWidth="1"/>
    <col min="3" max="3" width="8.7109375" customWidth="1"/>
    <col min="4" max="13" width="16" customWidth="1"/>
    <col min="14" max="14" width="23.42578125" customWidth="1"/>
  </cols>
  <sheetData>
    <row r="1" spans="2:14" x14ac:dyDescent="0.25">
      <c r="C1" s="56"/>
      <c r="E1" s="56"/>
      <c r="G1" s="56"/>
      <c r="I1" s="56"/>
      <c r="K1" s="56"/>
      <c r="M1" s="56"/>
    </row>
    <row r="2" spans="2:14" x14ac:dyDescent="0.25">
      <c r="C2" s="56"/>
      <c r="D2" s="124" t="s">
        <v>70</v>
      </c>
      <c r="E2" s="125"/>
      <c r="F2" s="124" t="s">
        <v>71</v>
      </c>
      <c r="G2" s="125"/>
      <c r="H2" s="124" t="s">
        <v>72</v>
      </c>
      <c r="I2" s="125"/>
      <c r="J2" s="124" t="s">
        <v>73</v>
      </c>
      <c r="K2" s="125"/>
      <c r="L2" s="126" t="s">
        <v>73</v>
      </c>
      <c r="M2" s="125"/>
    </row>
    <row r="3" spans="2:14" ht="18" x14ac:dyDescent="0.35">
      <c r="B3" s="81" t="s">
        <v>57</v>
      </c>
      <c r="C3" s="78" t="s">
        <v>10</v>
      </c>
      <c r="D3" s="81" t="s">
        <v>59</v>
      </c>
      <c r="E3" s="78" t="s">
        <v>58</v>
      </c>
      <c r="F3" s="81" t="s">
        <v>59</v>
      </c>
      <c r="G3" s="78" t="s">
        <v>58</v>
      </c>
      <c r="H3" s="81" t="s">
        <v>59</v>
      </c>
      <c r="I3" s="78" t="s">
        <v>58</v>
      </c>
      <c r="J3" s="81" t="s">
        <v>59</v>
      </c>
      <c r="K3" s="78" t="s">
        <v>58</v>
      </c>
      <c r="L3" s="81" t="s">
        <v>74</v>
      </c>
      <c r="M3" s="78" t="s">
        <v>75</v>
      </c>
      <c r="N3" s="81"/>
    </row>
    <row r="4" spans="2:14" x14ac:dyDescent="0.25">
      <c r="B4" s="1">
        <v>0</v>
      </c>
      <c r="C4" s="1">
        <v>2023</v>
      </c>
      <c r="D4" s="160">
        <v>2074322.2226</v>
      </c>
      <c r="E4" s="161">
        <v>50943.973371999993</v>
      </c>
      <c r="F4" s="160">
        <v>2073691.8036</v>
      </c>
      <c r="G4" s="161">
        <v>50901.925738000005</v>
      </c>
      <c r="H4" s="160">
        <f>D4-F4</f>
        <v>630.41899999999441</v>
      </c>
      <c r="I4" s="161">
        <f>E4-G4</f>
        <v>42.047633999987738</v>
      </c>
      <c r="J4" s="160">
        <f>H4*365</f>
        <v>230102.93499999796</v>
      </c>
      <c r="K4" s="161">
        <f>I4*365</f>
        <v>15347.386409995524</v>
      </c>
      <c r="L4" s="162">
        <f>(8.89*10^-3)*J4/22.5/0.993</f>
        <v>91.55712620118527</v>
      </c>
      <c r="M4" s="161">
        <f>J4*$H$35</f>
        <v>8.0595250293188144E-3</v>
      </c>
    </row>
    <row r="5" spans="2:14" x14ac:dyDescent="0.25">
      <c r="B5" s="1">
        <f>B4+1</f>
        <v>1</v>
      </c>
      <c r="C5" s="1">
        <f>C4+1</f>
        <v>2024</v>
      </c>
      <c r="D5" s="160">
        <v>2114916.3838</v>
      </c>
      <c r="E5" s="161">
        <v>51959.152072666657</v>
      </c>
      <c r="F5" s="160">
        <v>2113890.9378</v>
      </c>
      <c r="G5" s="161">
        <v>51916.311120666673</v>
      </c>
      <c r="H5" s="160">
        <f t="shared" ref="H5:I24" si="0">D5-F5</f>
        <v>1025.4459999999963</v>
      </c>
      <c r="I5" s="161">
        <f t="shared" si="0"/>
        <v>42.8409519999841</v>
      </c>
      <c r="J5" s="160">
        <f>H5*365</f>
        <v>374287.78999999864</v>
      </c>
      <c r="K5" s="161">
        <f t="shared" ref="K5:K24" si="1">I5*365</f>
        <v>15636.947479994196</v>
      </c>
      <c r="L5" s="162">
        <f t="shared" ref="L5:L24" si="2">(8.89*10^-3)*J5/22.5/0.993</f>
        <v>148.92775889448308</v>
      </c>
      <c r="M5" s="161">
        <f t="shared" ref="M5:M24" si="3">J5*$H$35</f>
        <v>1.3109705930841082E-2</v>
      </c>
    </row>
    <row r="6" spans="2:14" x14ac:dyDescent="0.25">
      <c r="B6" s="1">
        <f t="shared" ref="B6:C21" si="4">B5+1</f>
        <v>2</v>
      </c>
      <c r="C6" s="1">
        <f t="shared" si="4"/>
        <v>2025</v>
      </c>
      <c r="D6" s="160">
        <v>2155510.5449999999</v>
      </c>
      <c r="E6" s="161">
        <v>52974.33077333332</v>
      </c>
      <c r="F6" s="160">
        <v>2154090.0720000002</v>
      </c>
      <c r="G6" s="161">
        <v>52930.69650333334</v>
      </c>
      <c r="H6" s="160">
        <f t="shared" si="0"/>
        <v>1420.4729999997653</v>
      </c>
      <c r="I6" s="161">
        <f t="shared" si="0"/>
        <v>43.634269999980461</v>
      </c>
      <c r="J6" s="160">
        <f t="shared" ref="J6:J24" si="5">H6*365</f>
        <v>518472.64499991434</v>
      </c>
      <c r="K6" s="161">
        <f t="shared" si="1"/>
        <v>15926.508549992868</v>
      </c>
      <c r="L6" s="162">
        <f t="shared" si="2"/>
        <v>206.29839158774706</v>
      </c>
      <c r="M6" s="161">
        <f t="shared" si="3"/>
        <v>1.8159886832360372E-2</v>
      </c>
    </row>
    <row r="7" spans="2:14" x14ac:dyDescent="0.25">
      <c r="B7" s="1">
        <f t="shared" si="4"/>
        <v>3</v>
      </c>
      <c r="C7" s="1">
        <f t="shared" si="4"/>
        <v>2026</v>
      </c>
      <c r="D7" s="160">
        <v>2196104.7061999999</v>
      </c>
      <c r="E7" s="161">
        <v>53989.509473999984</v>
      </c>
      <c r="F7" s="160">
        <v>2194289.2062000004</v>
      </c>
      <c r="G7" s="161">
        <v>53945.081886000007</v>
      </c>
      <c r="H7" s="160">
        <f t="shared" si="0"/>
        <v>1815.4999999995343</v>
      </c>
      <c r="I7" s="161">
        <f t="shared" si="0"/>
        <v>44.427587999976822</v>
      </c>
      <c r="J7" s="160">
        <f t="shared" si="5"/>
        <v>662657.49999983003</v>
      </c>
      <c r="K7" s="161">
        <f t="shared" si="1"/>
        <v>16216.06961999154</v>
      </c>
      <c r="L7" s="162">
        <f t="shared" si="2"/>
        <v>263.66902428101105</v>
      </c>
      <c r="M7" s="161">
        <f t="shared" si="3"/>
        <v>2.3210067733879663E-2</v>
      </c>
    </row>
    <row r="8" spans="2:14" x14ac:dyDescent="0.25">
      <c r="B8" s="1">
        <f t="shared" si="4"/>
        <v>4</v>
      </c>
      <c r="C8" s="1">
        <f t="shared" si="4"/>
        <v>2027</v>
      </c>
      <c r="D8" s="160">
        <v>2236698.8673999999</v>
      </c>
      <c r="E8" s="161">
        <v>55004.688174666648</v>
      </c>
      <c r="F8" s="160">
        <v>2234488.3404000006</v>
      </c>
      <c r="G8" s="161">
        <v>54959.467268666674</v>
      </c>
      <c r="H8" s="160">
        <f t="shared" si="0"/>
        <v>2210.5269999993034</v>
      </c>
      <c r="I8" s="161">
        <f t="shared" si="0"/>
        <v>45.220905999973183</v>
      </c>
      <c r="J8" s="160">
        <f t="shared" si="5"/>
        <v>806842.35499974573</v>
      </c>
      <c r="K8" s="161">
        <f t="shared" si="1"/>
        <v>16505.630689990212</v>
      </c>
      <c r="L8" s="162">
        <f t="shared" si="2"/>
        <v>321.03965697427503</v>
      </c>
      <c r="M8" s="161">
        <f t="shared" si="3"/>
        <v>2.8260248635398954E-2</v>
      </c>
    </row>
    <row r="9" spans="2:14" x14ac:dyDescent="0.25">
      <c r="B9" s="1">
        <f t="shared" si="4"/>
        <v>5</v>
      </c>
      <c r="C9" s="1">
        <f t="shared" si="4"/>
        <v>2028</v>
      </c>
      <c r="D9" s="160">
        <v>2277293.0285999998</v>
      </c>
      <c r="E9" s="161">
        <v>56019.866875333311</v>
      </c>
      <c r="F9" s="160">
        <v>2274687.4746000008</v>
      </c>
      <c r="G9" s="161">
        <v>55973.852651333342</v>
      </c>
      <c r="H9" s="160">
        <f t="shared" si="0"/>
        <v>2605.5539999990724</v>
      </c>
      <c r="I9" s="161">
        <f t="shared" si="0"/>
        <v>46.014223999969545</v>
      </c>
      <c r="J9" s="160">
        <f t="shared" si="5"/>
        <v>951027.20999966143</v>
      </c>
      <c r="K9" s="161">
        <f t="shared" si="1"/>
        <v>16795.191759988884</v>
      </c>
      <c r="L9" s="162">
        <f t="shared" si="2"/>
        <v>378.41028966753902</v>
      </c>
      <c r="M9" s="161">
        <f t="shared" si="3"/>
        <v>3.3310429536918248E-2</v>
      </c>
    </row>
    <row r="10" spans="2:14" x14ac:dyDescent="0.25">
      <c r="B10" s="1">
        <f t="shared" si="4"/>
        <v>6</v>
      </c>
      <c r="C10" s="1">
        <f t="shared" si="4"/>
        <v>2029</v>
      </c>
      <c r="D10" s="160">
        <v>2317887.1897999998</v>
      </c>
      <c r="E10" s="161">
        <v>57035.045575999975</v>
      </c>
      <c r="F10" s="160">
        <v>2314886.608800001</v>
      </c>
      <c r="G10" s="161">
        <v>56988.238034000009</v>
      </c>
      <c r="H10" s="160">
        <f t="shared" si="0"/>
        <v>3000.5809999988414</v>
      </c>
      <c r="I10" s="161">
        <f t="shared" si="0"/>
        <v>46.807541999965906</v>
      </c>
      <c r="J10" s="160">
        <f t="shared" si="5"/>
        <v>1095212.0649995771</v>
      </c>
      <c r="K10" s="161">
        <f t="shared" si="1"/>
        <v>17084.752829987556</v>
      </c>
      <c r="L10" s="162">
        <f t="shared" si="2"/>
        <v>435.78092236080295</v>
      </c>
      <c r="M10" s="161">
        <f t="shared" si="3"/>
        <v>3.836061043843754E-2</v>
      </c>
    </row>
    <row r="11" spans="2:14" x14ac:dyDescent="0.25">
      <c r="B11" s="1">
        <f t="shared" si="4"/>
        <v>7</v>
      </c>
      <c r="C11" s="1">
        <f t="shared" si="4"/>
        <v>2030</v>
      </c>
      <c r="D11" s="160">
        <v>2358481.3509999998</v>
      </c>
      <c r="E11" s="161">
        <v>58050.224276666639</v>
      </c>
      <c r="F11" s="160">
        <v>2355085.7430000012</v>
      </c>
      <c r="G11" s="161">
        <v>58002.623416666676</v>
      </c>
      <c r="H11" s="160">
        <f t="shared" si="0"/>
        <v>3395.6079999986105</v>
      </c>
      <c r="I11" s="161">
        <f t="shared" si="0"/>
        <v>47.600859999962267</v>
      </c>
      <c r="J11" s="160">
        <f t="shared" si="5"/>
        <v>1239396.9199994928</v>
      </c>
      <c r="K11" s="161">
        <f t="shared" si="1"/>
        <v>17374.313899986228</v>
      </c>
      <c r="L11" s="162">
        <f t="shared" si="2"/>
        <v>493.15155505406693</v>
      </c>
      <c r="M11" s="161">
        <f t="shared" si="3"/>
        <v>4.3410791339956831E-2</v>
      </c>
    </row>
    <row r="12" spans="2:14" x14ac:dyDescent="0.25">
      <c r="B12" s="1">
        <f t="shared" si="4"/>
        <v>8</v>
      </c>
      <c r="C12" s="1">
        <f t="shared" si="4"/>
        <v>2031</v>
      </c>
      <c r="D12" s="160">
        <v>2399075.5121999998</v>
      </c>
      <c r="E12" s="161">
        <v>59065.402977333302</v>
      </c>
      <c r="F12" s="160">
        <v>2395284.8772000014</v>
      </c>
      <c r="G12" s="161">
        <v>59017.008799333344</v>
      </c>
      <c r="H12" s="160">
        <f t="shared" si="0"/>
        <v>3790.6349999983795</v>
      </c>
      <c r="I12" s="161">
        <f t="shared" si="0"/>
        <v>48.394177999958629</v>
      </c>
      <c r="J12" s="160">
        <f t="shared" si="5"/>
        <v>1383581.7749994085</v>
      </c>
      <c r="K12" s="161">
        <f t="shared" si="1"/>
        <v>17663.8749699849</v>
      </c>
      <c r="L12" s="162">
        <f t="shared" si="2"/>
        <v>550.52218774733103</v>
      </c>
      <c r="M12" s="161">
        <f t="shared" si="3"/>
        <v>4.8460972241476122E-2</v>
      </c>
    </row>
    <row r="13" spans="2:14" x14ac:dyDescent="0.25">
      <c r="B13" s="1">
        <f t="shared" si="4"/>
        <v>9</v>
      </c>
      <c r="C13" s="1">
        <f t="shared" si="4"/>
        <v>2032</v>
      </c>
      <c r="D13" s="160">
        <v>2439669.6733999997</v>
      </c>
      <c r="E13" s="161">
        <v>60080.581677999966</v>
      </c>
      <c r="F13" s="160">
        <v>2435484.0114000016</v>
      </c>
      <c r="G13" s="161">
        <v>60031.394182000011</v>
      </c>
      <c r="H13" s="160">
        <f t="shared" si="0"/>
        <v>4185.6619999981485</v>
      </c>
      <c r="I13" s="161">
        <f t="shared" si="0"/>
        <v>49.18749599995499</v>
      </c>
      <c r="J13" s="160">
        <f t="shared" si="5"/>
        <v>1527766.6299993242</v>
      </c>
      <c r="K13" s="161">
        <f t="shared" si="1"/>
        <v>17953.436039983571</v>
      </c>
      <c r="L13" s="162">
        <f t="shared" si="2"/>
        <v>607.89282044059496</v>
      </c>
      <c r="M13" s="161">
        <f t="shared" si="3"/>
        <v>5.3511153142995406E-2</v>
      </c>
    </row>
    <row r="14" spans="2:14" x14ac:dyDescent="0.25">
      <c r="B14" s="1">
        <f t="shared" si="4"/>
        <v>10</v>
      </c>
      <c r="C14" s="1">
        <f t="shared" si="4"/>
        <v>2033</v>
      </c>
      <c r="D14" s="160">
        <v>2480263.8345999997</v>
      </c>
      <c r="E14" s="161">
        <v>61095.76037866663</v>
      </c>
      <c r="F14" s="160">
        <v>2475683.1456000018</v>
      </c>
      <c r="G14" s="161">
        <v>61045.779564666678</v>
      </c>
      <c r="H14" s="160">
        <f t="shared" si="0"/>
        <v>4580.6889999979176</v>
      </c>
      <c r="I14" s="161">
        <f t="shared" si="0"/>
        <v>49.980813999951351</v>
      </c>
      <c r="J14" s="160">
        <f t="shared" si="5"/>
        <v>1671951.4849992399</v>
      </c>
      <c r="K14" s="161">
        <f t="shared" si="1"/>
        <v>18242.997109982243</v>
      </c>
      <c r="L14" s="162">
        <f t="shared" si="2"/>
        <v>665.26345313385889</v>
      </c>
      <c r="M14" s="161">
        <f t="shared" si="3"/>
        <v>5.8561334044514697E-2</v>
      </c>
    </row>
    <row r="15" spans="2:14" x14ac:dyDescent="0.25">
      <c r="B15" s="1">
        <f t="shared" si="4"/>
        <v>11</v>
      </c>
      <c r="C15" s="1">
        <f t="shared" si="4"/>
        <v>2034</v>
      </c>
      <c r="D15" s="160">
        <v>2520857.9957999997</v>
      </c>
      <c r="E15" s="161">
        <v>62110.939079333293</v>
      </c>
      <c r="F15" s="160">
        <v>2515882.279800002</v>
      </c>
      <c r="G15" s="161">
        <v>62060.164947333345</v>
      </c>
      <c r="H15" s="160">
        <f t="shared" si="0"/>
        <v>4975.7159999976866</v>
      </c>
      <c r="I15" s="161">
        <f t="shared" si="0"/>
        <v>50.774131999947713</v>
      </c>
      <c r="J15" s="160">
        <f t="shared" si="5"/>
        <v>1816136.3399991556</v>
      </c>
      <c r="K15" s="161">
        <f t="shared" si="1"/>
        <v>18532.558179980915</v>
      </c>
      <c r="L15" s="162">
        <f t="shared" si="2"/>
        <v>722.63408582712293</v>
      </c>
      <c r="M15" s="161">
        <f t="shared" si="3"/>
        <v>6.3611514946033995E-2</v>
      </c>
    </row>
    <row r="16" spans="2:14" x14ac:dyDescent="0.25">
      <c r="B16" s="1">
        <f t="shared" si="4"/>
        <v>12</v>
      </c>
      <c r="C16" s="1">
        <f t="shared" si="4"/>
        <v>2035</v>
      </c>
      <c r="D16" s="160">
        <v>2561452.1570000001</v>
      </c>
      <c r="E16" s="161">
        <v>63126.11778</v>
      </c>
      <c r="F16" s="160">
        <v>2556081.4139999999</v>
      </c>
      <c r="G16" s="161">
        <v>63074.550329999998</v>
      </c>
      <c r="H16" s="160">
        <f t="shared" si="0"/>
        <v>5370.7430000002496</v>
      </c>
      <c r="I16" s="161">
        <f t="shared" si="0"/>
        <v>51.567450000002282</v>
      </c>
      <c r="J16" s="160">
        <f t="shared" si="5"/>
        <v>1960321.1950000911</v>
      </c>
      <c r="K16" s="161">
        <f t="shared" si="1"/>
        <v>18822.119250000833</v>
      </c>
      <c r="L16" s="162">
        <f t="shared" si="2"/>
        <v>780.00471852079261</v>
      </c>
      <c r="M16" s="161">
        <f t="shared" si="3"/>
        <v>6.8661695847589008E-2</v>
      </c>
    </row>
    <row r="17" spans="2:13" x14ac:dyDescent="0.25">
      <c r="B17" s="1">
        <f t="shared" si="4"/>
        <v>13</v>
      </c>
      <c r="C17" s="1">
        <f t="shared" si="4"/>
        <v>2036</v>
      </c>
      <c r="D17" s="160">
        <v>2602046.3182000001</v>
      </c>
      <c r="E17" s="161">
        <v>64141.296480666664</v>
      </c>
      <c r="F17" s="160">
        <v>2596280.5482000001</v>
      </c>
      <c r="G17" s="161">
        <v>64088.935712666665</v>
      </c>
      <c r="H17" s="160">
        <f t="shared" si="0"/>
        <v>5765.7700000000186</v>
      </c>
      <c r="I17" s="161">
        <f t="shared" si="0"/>
        <v>52.360767999998643</v>
      </c>
      <c r="J17" s="160">
        <f t="shared" si="5"/>
        <v>2104506.0500000068</v>
      </c>
      <c r="K17" s="161">
        <f t="shared" si="1"/>
        <v>19111.680319999505</v>
      </c>
      <c r="L17" s="162">
        <f t="shared" si="2"/>
        <v>837.37535121405676</v>
      </c>
      <c r="M17" s="161">
        <f t="shared" si="3"/>
        <v>7.3711876749108299E-2</v>
      </c>
    </row>
    <row r="18" spans="2:13" x14ac:dyDescent="0.25">
      <c r="B18" s="1">
        <f t="shared" si="4"/>
        <v>14</v>
      </c>
      <c r="C18" s="1">
        <f t="shared" si="4"/>
        <v>2037</v>
      </c>
      <c r="D18" s="160">
        <v>2642640.4794000001</v>
      </c>
      <c r="E18" s="161">
        <v>65156.475181333328</v>
      </c>
      <c r="F18" s="160">
        <v>2636479.6824000003</v>
      </c>
      <c r="G18" s="161">
        <v>65103.321095333333</v>
      </c>
      <c r="H18" s="160">
        <f t="shared" si="0"/>
        <v>6160.7969999997877</v>
      </c>
      <c r="I18" s="161">
        <f t="shared" si="0"/>
        <v>53.154085999995004</v>
      </c>
      <c r="J18" s="160">
        <f t="shared" si="5"/>
        <v>2248690.9049999225</v>
      </c>
      <c r="K18" s="161">
        <f t="shared" si="1"/>
        <v>19401.241389998177</v>
      </c>
      <c r="L18" s="162">
        <f t="shared" si="2"/>
        <v>894.74598390732069</v>
      </c>
      <c r="M18" s="161">
        <f t="shared" si="3"/>
        <v>7.876205765062759E-2</v>
      </c>
    </row>
    <row r="19" spans="2:13" x14ac:dyDescent="0.25">
      <c r="B19" s="1">
        <f>B18+1</f>
        <v>15</v>
      </c>
      <c r="C19" s="1">
        <f t="shared" si="4"/>
        <v>2038</v>
      </c>
      <c r="D19" s="160">
        <v>2683234.6406</v>
      </c>
      <c r="E19" s="161">
        <v>66171.653881999999</v>
      </c>
      <c r="F19" s="160">
        <v>2676678.8166000005</v>
      </c>
      <c r="G19" s="161">
        <v>66117.706477999993</v>
      </c>
      <c r="H19" s="160">
        <f t="shared" si="0"/>
        <v>6555.8239999995567</v>
      </c>
      <c r="I19" s="161">
        <f t="shared" si="0"/>
        <v>53.947404000005918</v>
      </c>
      <c r="J19" s="160">
        <f t="shared" si="5"/>
        <v>2392875.7599998382</v>
      </c>
      <c r="K19" s="161">
        <f t="shared" si="1"/>
        <v>19690.80246000216</v>
      </c>
      <c r="L19" s="162">
        <f t="shared" si="2"/>
        <v>952.11661660058473</v>
      </c>
      <c r="M19" s="161">
        <f t="shared" si="3"/>
        <v>8.3812238552146881E-2</v>
      </c>
    </row>
    <row r="20" spans="2:13" x14ac:dyDescent="0.25">
      <c r="B20" s="1">
        <f t="shared" si="4"/>
        <v>16</v>
      </c>
      <c r="C20" s="1">
        <f t="shared" si="4"/>
        <v>2039</v>
      </c>
      <c r="D20" s="160">
        <v>2723828.8018</v>
      </c>
      <c r="E20" s="161">
        <v>67186.83258266667</v>
      </c>
      <c r="F20" s="160">
        <v>2716877.9508000007</v>
      </c>
      <c r="G20" s="161">
        <v>67132.091860666653</v>
      </c>
      <c r="H20" s="160">
        <f t="shared" si="0"/>
        <v>6950.8509999993257</v>
      </c>
      <c r="I20" s="161">
        <f t="shared" si="0"/>
        <v>54.740722000016831</v>
      </c>
      <c r="J20" s="160">
        <f t="shared" si="5"/>
        <v>2537060.6149997539</v>
      </c>
      <c r="K20" s="161">
        <f t="shared" si="1"/>
        <v>19980.363530006143</v>
      </c>
      <c r="L20" s="162">
        <f t="shared" si="2"/>
        <v>1009.4872492938485</v>
      </c>
      <c r="M20" s="161">
        <f t="shared" si="3"/>
        <v>8.8862419453666172E-2</v>
      </c>
    </row>
    <row r="21" spans="2:13" x14ac:dyDescent="0.25">
      <c r="B21" s="1">
        <f>B20+1</f>
        <v>17</v>
      </c>
      <c r="C21" s="1">
        <f t="shared" si="4"/>
        <v>2040</v>
      </c>
      <c r="D21" s="160">
        <v>2764422.963</v>
      </c>
      <c r="E21" s="161">
        <v>68202.011283333341</v>
      </c>
      <c r="F21" s="160">
        <v>2757077.0850000009</v>
      </c>
      <c r="G21" s="161">
        <v>68146.477243333313</v>
      </c>
      <c r="H21" s="160">
        <f t="shared" si="0"/>
        <v>7345.8779999990948</v>
      </c>
      <c r="I21" s="161">
        <f t="shared" si="0"/>
        <v>55.534040000027744</v>
      </c>
      <c r="J21" s="160">
        <f t="shared" si="5"/>
        <v>2681245.4699996696</v>
      </c>
      <c r="K21" s="161">
        <f t="shared" si="1"/>
        <v>20269.924600010127</v>
      </c>
      <c r="L21" s="162">
        <f t="shared" si="2"/>
        <v>1066.8578819871127</v>
      </c>
      <c r="M21" s="161">
        <f t="shared" si="3"/>
        <v>9.3912600355185463E-2</v>
      </c>
    </row>
    <row r="22" spans="2:13" x14ac:dyDescent="0.25">
      <c r="B22" s="1">
        <f t="shared" ref="B22:C24" si="6">B21+1</f>
        <v>18</v>
      </c>
      <c r="C22" s="1">
        <f t="shared" si="6"/>
        <v>2041</v>
      </c>
      <c r="D22" s="160">
        <v>2805017.1242</v>
      </c>
      <c r="E22" s="161">
        <v>69217.189984000011</v>
      </c>
      <c r="F22" s="160">
        <v>2797276.2192000011</v>
      </c>
      <c r="G22" s="161">
        <v>69160.862625999973</v>
      </c>
      <c r="H22" s="160">
        <f t="shared" si="0"/>
        <v>7740.9049999988638</v>
      </c>
      <c r="I22" s="161">
        <f t="shared" si="0"/>
        <v>56.327358000038657</v>
      </c>
      <c r="J22" s="160">
        <f t="shared" si="5"/>
        <v>2825430.3249995853</v>
      </c>
      <c r="K22" s="161">
        <f t="shared" si="1"/>
        <v>20559.48567001411</v>
      </c>
      <c r="L22" s="162">
        <f t="shared" si="2"/>
        <v>1124.2285146803765</v>
      </c>
      <c r="M22" s="161">
        <f t="shared" si="3"/>
        <v>9.896278125670474E-2</v>
      </c>
    </row>
    <row r="23" spans="2:13" x14ac:dyDescent="0.25">
      <c r="B23" s="1">
        <f t="shared" si="6"/>
        <v>19</v>
      </c>
      <c r="C23" s="1">
        <f t="shared" si="6"/>
        <v>2042</v>
      </c>
      <c r="D23" s="160">
        <v>2845611.2853999999</v>
      </c>
      <c r="E23" s="161">
        <v>70232.368684666682</v>
      </c>
      <c r="F23" s="160">
        <v>2837475.3534000013</v>
      </c>
      <c r="G23" s="161">
        <v>70175.248008666633</v>
      </c>
      <c r="H23" s="160">
        <f t="shared" si="0"/>
        <v>8135.9319999986328</v>
      </c>
      <c r="I23" s="161">
        <f t="shared" si="0"/>
        <v>57.120676000049571</v>
      </c>
      <c r="J23" s="160">
        <f t="shared" si="5"/>
        <v>2969615.179999501</v>
      </c>
      <c r="K23" s="161">
        <f t="shared" si="1"/>
        <v>20849.046740018093</v>
      </c>
      <c r="L23" s="162">
        <f t="shared" si="2"/>
        <v>1181.5991473736406</v>
      </c>
      <c r="M23" s="161">
        <f t="shared" si="3"/>
        <v>0.10401296215822403</v>
      </c>
    </row>
    <row r="24" spans="2:13" x14ac:dyDescent="0.25">
      <c r="B24" s="1">
        <f>B23+1</f>
        <v>20</v>
      </c>
      <c r="C24" s="1">
        <f t="shared" si="6"/>
        <v>2043</v>
      </c>
      <c r="D24" s="160">
        <v>2886205.4465999999</v>
      </c>
      <c r="E24" s="161">
        <v>71247.547385333353</v>
      </c>
      <c r="F24" s="160">
        <v>2877674.4876000015</v>
      </c>
      <c r="G24" s="161">
        <v>71189.633391333293</v>
      </c>
      <c r="H24" s="160">
        <f t="shared" si="0"/>
        <v>8530.9589999984019</v>
      </c>
      <c r="I24" s="161">
        <f t="shared" si="0"/>
        <v>57.913994000060484</v>
      </c>
      <c r="J24" s="160">
        <f t="shared" si="5"/>
        <v>3113800.0349994167</v>
      </c>
      <c r="K24" s="161">
        <f t="shared" si="1"/>
        <v>21138.607810022077</v>
      </c>
      <c r="L24" s="162">
        <f t="shared" si="2"/>
        <v>1238.9697800669046</v>
      </c>
      <c r="M24" s="161">
        <f t="shared" si="3"/>
        <v>0.10906314305974332</v>
      </c>
    </row>
    <row r="25" spans="2:13" x14ac:dyDescent="0.25">
      <c r="J25" s="57"/>
    </row>
    <row r="26" spans="2:13" x14ac:dyDescent="0.25">
      <c r="D26" s="5" t="s">
        <v>90</v>
      </c>
      <c r="E26" s="40" t="s">
        <v>91</v>
      </c>
    </row>
    <row r="27" spans="2:13" x14ac:dyDescent="0.25">
      <c r="D27" s="5" t="s">
        <v>89</v>
      </c>
      <c r="E27" s="40" t="s">
        <v>80</v>
      </c>
    </row>
    <row r="28" spans="2:13" ht="18" x14ac:dyDescent="0.35">
      <c r="D28" s="5" t="s">
        <v>76</v>
      </c>
      <c r="E28" s="40" t="s">
        <v>77</v>
      </c>
    </row>
    <row r="29" spans="2:13" ht="18" x14ac:dyDescent="0.35">
      <c r="D29" s="5" t="s">
        <v>78</v>
      </c>
      <c r="E29" s="45" t="s">
        <v>60</v>
      </c>
      <c r="G29" s="81"/>
      <c r="H29" s="81"/>
    </row>
    <row r="30" spans="2:13" ht="18" x14ac:dyDescent="0.35">
      <c r="D30" s="5" t="s">
        <v>85</v>
      </c>
      <c r="E30" s="45" t="s">
        <v>80</v>
      </c>
      <c r="G30" s="81"/>
      <c r="H30" s="81"/>
    </row>
    <row r="31" spans="2:13" x14ac:dyDescent="0.25">
      <c r="D31" s="5"/>
      <c r="E31" s="45"/>
      <c r="G31" s="81"/>
      <c r="H31" s="81"/>
    </row>
    <row r="32" spans="2:13" x14ac:dyDescent="0.25">
      <c r="E32" s="81"/>
      <c r="F32" s="81"/>
      <c r="G32" s="81"/>
      <c r="H32" s="81"/>
    </row>
    <row r="33" spans="5:12" x14ac:dyDescent="0.25">
      <c r="E33" s="81"/>
      <c r="F33" s="81"/>
      <c r="G33" s="81"/>
      <c r="H33" s="81"/>
    </row>
    <row r="34" spans="5:12" ht="18" x14ac:dyDescent="0.35">
      <c r="E34" s="43" t="s">
        <v>54</v>
      </c>
      <c r="F34" s="43" t="s">
        <v>43</v>
      </c>
      <c r="G34" s="43" t="s">
        <v>44</v>
      </c>
      <c r="H34" s="43" t="s">
        <v>79</v>
      </c>
      <c r="J34" s="63" t="s">
        <v>10</v>
      </c>
      <c r="K34" s="62" t="s">
        <v>86</v>
      </c>
      <c r="L34" s="62" t="s">
        <v>87</v>
      </c>
    </row>
    <row r="35" spans="5:12" x14ac:dyDescent="0.25">
      <c r="E35" s="31" t="s">
        <v>2</v>
      </c>
      <c r="F35" s="1">
        <f>0.004+0.002+0.029</f>
        <v>3.5000000000000003E-2</v>
      </c>
      <c r="G35" s="44">
        <f>F35*0.00000110231</f>
        <v>3.8580850000000005E-8</v>
      </c>
      <c r="H35" s="44">
        <f>G35/1.1015</f>
        <v>3.5025737630503868E-8</v>
      </c>
      <c r="J35" s="81">
        <v>2023</v>
      </c>
      <c r="K35" s="64">
        <v>769000</v>
      </c>
      <c r="L35" s="64">
        <v>54</v>
      </c>
    </row>
    <row r="36" spans="5:12" x14ac:dyDescent="0.25">
      <c r="J36" s="81">
        <f>J35+1</f>
        <v>2024</v>
      </c>
      <c r="K36" s="64">
        <v>782700</v>
      </c>
      <c r="L36" s="64">
        <f>L35+1</f>
        <v>55</v>
      </c>
    </row>
    <row r="37" spans="5:12" x14ac:dyDescent="0.25">
      <c r="E37" s="5" t="s">
        <v>81</v>
      </c>
      <c r="F37" s="61">
        <v>17.899999999999999</v>
      </c>
      <c r="G37" s="60" t="s">
        <v>83</v>
      </c>
      <c r="H37" s="81" t="s">
        <v>82</v>
      </c>
      <c r="J37" s="81">
        <f t="shared" ref="J37:J55" si="7">J36+1</f>
        <v>2025</v>
      </c>
      <c r="K37" s="64">
        <v>796600</v>
      </c>
      <c r="L37" s="64">
        <f t="shared" ref="L37:L55" si="8">L36+1</f>
        <v>56</v>
      </c>
    </row>
    <row r="38" spans="5:12" x14ac:dyDescent="0.25">
      <c r="E38" s="5" t="s">
        <v>84</v>
      </c>
      <c r="F38" s="65">
        <f>9282/15000</f>
        <v>0.61880000000000002</v>
      </c>
      <c r="G38" s="81" t="s">
        <v>92</v>
      </c>
      <c r="H38" s="81" t="s">
        <v>82</v>
      </c>
      <c r="J38" s="81">
        <f t="shared" si="7"/>
        <v>2026</v>
      </c>
      <c r="K38" s="64">
        <v>807500</v>
      </c>
      <c r="L38" s="64">
        <f t="shared" si="8"/>
        <v>57</v>
      </c>
    </row>
    <row r="39" spans="5:12" x14ac:dyDescent="0.25">
      <c r="J39" s="81">
        <f t="shared" si="7"/>
        <v>2027</v>
      </c>
      <c r="K39" s="64">
        <v>818600</v>
      </c>
      <c r="L39" s="64">
        <f t="shared" si="8"/>
        <v>58</v>
      </c>
    </row>
    <row r="40" spans="5:12" x14ac:dyDescent="0.25">
      <c r="J40" s="81">
        <f t="shared" si="7"/>
        <v>2028</v>
      </c>
      <c r="K40" s="64">
        <v>829800</v>
      </c>
      <c r="L40" s="64">
        <f t="shared" si="8"/>
        <v>59</v>
      </c>
    </row>
    <row r="41" spans="5:12" x14ac:dyDescent="0.25">
      <c r="J41" s="81">
        <f t="shared" si="7"/>
        <v>2029</v>
      </c>
      <c r="K41" s="64">
        <v>841200</v>
      </c>
      <c r="L41" s="64">
        <f t="shared" si="8"/>
        <v>60</v>
      </c>
    </row>
    <row r="42" spans="5:12" x14ac:dyDescent="0.25">
      <c r="J42" s="81">
        <f t="shared" si="7"/>
        <v>2030</v>
      </c>
      <c r="K42" s="64">
        <v>852700</v>
      </c>
      <c r="L42" s="64">
        <f t="shared" si="8"/>
        <v>61</v>
      </c>
    </row>
    <row r="43" spans="5:12" x14ac:dyDescent="0.25">
      <c r="J43" s="81">
        <f t="shared" si="7"/>
        <v>2031</v>
      </c>
      <c r="K43" s="64">
        <v>852700</v>
      </c>
      <c r="L43" s="64">
        <f t="shared" si="8"/>
        <v>62</v>
      </c>
    </row>
    <row r="44" spans="5:12" x14ac:dyDescent="0.25">
      <c r="J44" s="81">
        <f t="shared" si="7"/>
        <v>2032</v>
      </c>
      <c r="K44" s="64">
        <v>852700</v>
      </c>
      <c r="L44" s="64">
        <f t="shared" si="8"/>
        <v>63</v>
      </c>
    </row>
    <row r="45" spans="5:12" x14ac:dyDescent="0.25">
      <c r="J45" s="81">
        <f t="shared" si="7"/>
        <v>2033</v>
      </c>
      <c r="K45" s="64">
        <v>852700</v>
      </c>
      <c r="L45" s="64">
        <f t="shared" si="8"/>
        <v>64</v>
      </c>
    </row>
    <row r="46" spans="5:12" x14ac:dyDescent="0.25">
      <c r="J46" s="81">
        <f t="shared" si="7"/>
        <v>2034</v>
      </c>
      <c r="K46" s="64">
        <v>852700</v>
      </c>
      <c r="L46" s="64">
        <f t="shared" si="8"/>
        <v>65</v>
      </c>
    </row>
    <row r="47" spans="5:12" x14ac:dyDescent="0.25">
      <c r="J47" s="81">
        <f t="shared" si="7"/>
        <v>2035</v>
      </c>
      <c r="K47" s="64">
        <v>852700</v>
      </c>
      <c r="L47" s="64">
        <f t="shared" si="8"/>
        <v>66</v>
      </c>
    </row>
    <row r="48" spans="5:12" x14ac:dyDescent="0.25">
      <c r="J48" s="81">
        <f>J47+1</f>
        <v>2036</v>
      </c>
      <c r="K48" s="64">
        <v>852700</v>
      </c>
      <c r="L48" s="64">
        <f t="shared" si="8"/>
        <v>67</v>
      </c>
    </row>
    <row r="49" spans="10:12" x14ac:dyDescent="0.25">
      <c r="J49" s="81">
        <f t="shared" si="7"/>
        <v>2037</v>
      </c>
      <c r="K49" s="64">
        <v>852700</v>
      </c>
      <c r="L49" s="64">
        <f t="shared" si="8"/>
        <v>68</v>
      </c>
    </row>
    <row r="50" spans="10:12" x14ac:dyDescent="0.25">
      <c r="J50" s="81">
        <f t="shared" si="7"/>
        <v>2038</v>
      </c>
      <c r="K50" s="64">
        <v>852700</v>
      </c>
      <c r="L50" s="64">
        <f t="shared" si="8"/>
        <v>69</v>
      </c>
    </row>
    <row r="51" spans="10:12" x14ac:dyDescent="0.25">
      <c r="J51" s="81">
        <f>J50+1</f>
        <v>2039</v>
      </c>
      <c r="K51" s="64">
        <v>852700</v>
      </c>
      <c r="L51" s="64">
        <f t="shared" si="8"/>
        <v>70</v>
      </c>
    </row>
    <row r="52" spans="10:12" x14ac:dyDescent="0.25">
      <c r="J52" s="81">
        <f t="shared" si="7"/>
        <v>2040</v>
      </c>
      <c r="K52" s="64">
        <v>852700</v>
      </c>
      <c r="L52" s="64">
        <f t="shared" si="8"/>
        <v>71</v>
      </c>
    </row>
    <row r="53" spans="10:12" x14ac:dyDescent="0.25">
      <c r="J53" s="81">
        <f t="shared" si="7"/>
        <v>2041</v>
      </c>
      <c r="K53" s="64">
        <v>852700</v>
      </c>
      <c r="L53" s="64">
        <f t="shared" si="8"/>
        <v>72</v>
      </c>
    </row>
    <row r="54" spans="10:12" x14ac:dyDescent="0.25">
      <c r="J54" s="81">
        <f t="shared" si="7"/>
        <v>2042</v>
      </c>
      <c r="K54" s="64">
        <v>852700</v>
      </c>
      <c r="L54" s="64">
        <f t="shared" si="8"/>
        <v>73</v>
      </c>
    </row>
    <row r="55" spans="10:12" x14ac:dyDescent="0.25">
      <c r="J55" s="81">
        <f t="shared" si="7"/>
        <v>2043</v>
      </c>
      <c r="K55" s="64">
        <v>852700</v>
      </c>
      <c r="L55" s="64">
        <f t="shared" si="8"/>
        <v>74</v>
      </c>
    </row>
  </sheetData>
  <mergeCells count="5">
    <mergeCell ref="D2:E2"/>
    <mergeCell ref="F2:G2"/>
    <mergeCell ref="H2:I2"/>
    <mergeCell ref="J2:K2"/>
    <mergeCell ref="L2:M2"/>
  </mergeCells>
  <hyperlinks>
    <hyperlink ref="E28" r:id="rId1" xr:uid="{00000000-0004-0000-0100-000000000000}"/>
    <hyperlink ref="E29" r:id="rId2" xr:uid="{00000000-0004-0000-0100-000001000000}"/>
    <hyperlink ref="E27" r:id="rId3" xr:uid="{00000000-0004-0000-0100-000002000000}"/>
    <hyperlink ref="E26" r:id="rId4" xr:uid="{00000000-0004-0000-0100-000003000000}"/>
  </hyperlinks>
  <pageMargins left="0.7" right="0.7" top="0.75" bottom="0.75" header="0.3" footer="0.3"/>
  <pageSetup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showGridLines="0" workbookViewId="0">
      <selection activeCell="A24" sqref="A24"/>
    </sheetView>
  </sheetViews>
  <sheetFormatPr defaultColWidth="9.140625" defaultRowHeight="15" x14ac:dyDescent="0.25"/>
  <cols>
    <col min="1" max="1" width="30.42578125" style="5" customWidth="1"/>
    <col min="2" max="3" width="13.28515625" style="5" bestFit="1" customWidth="1"/>
    <col min="4" max="4" width="11.5703125" style="5" bestFit="1" customWidth="1"/>
    <col min="5" max="5" width="11.140625" style="5" bestFit="1" customWidth="1"/>
    <col min="6" max="6" width="6.42578125" style="5" bestFit="1" customWidth="1"/>
    <col min="7" max="7" width="11.85546875" style="5" bestFit="1" customWidth="1"/>
    <col min="8" max="8" width="4" style="5" bestFit="1" customWidth="1"/>
    <col min="9" max="9" width="13.5703125" style="5" bestFit="1" customWidth="1"/>
    <col min="10" max="10" width="9.140625" style="5"/>
    <col min="11" max="11" width="11.85546875" style="5" bestFit="1" customWidth="1"/>
    <col min="12" max="12" width="17.28515625" style="5" customWidth="1"/>
    <col min="13" max="13" width="11.5703125" style="5" customWidth="1"/>
    <col min="14" max="16384" width="9.140625" style="5"/>
  </cols>
  <sheetData>
    <row r="1" spans="1:13" x14ac:dyDescent="0.25">
      <c r="B1" s="19" t="s">
        <v>13</v>
      </c>
      <c r="C1" s="19" t="s">
        <v>14</v>
      </c>
      <c r="D1" s="19" t="s">
        <v>15</v>
      </c>
      <c r="E1" s="19" t="s">
        <v>16</v>
      </c>
      <c r="F1" s="19" t="s">
        <v>17</v>
      </c>
      <c r="G1" s="19" t="s">
        <v>20</v>
      </c>
      <c r="H1" s="81" t="s">
        <v>21</v>
      </c>
      <c r="I1" s="81" t="s">
        <v>22</v>
      </c>
    </row>
    <row r="2" spans="1:13" ht="60" x14ac:dyDescent="0.25">
      <c r="A2" s="13"/>
      <c r="B2" s="80" t="s">
        <v>0</v>
      </c>
      <c r="C2" s="80" t="s">
        <v>1</v>
      </c>
      <c r="D2" s="80" t="s">
        <v>5</v>
      </c>
      <c r="E2" s="135" t="s">
        <v>4</v>
      </c>
      <c r="F2" s="135"/>
      <c r="G2" s="80" t="s">
        <v>8</v>
      </c>
      <c r="H2" s="22" t="s">
        <v>9</v>
      </c>
      <c r="I2" s="80" t="s">
        <v>99</v>
      </c>
    </row>
    <row r="3" spans="1:13" ht="15.75" thickBot="1" x14ac:dyDescent="0.3">
      <c r="A3" s="14" t="s">
        <v>42</v>
      </c>
      <c r="B3" s="7"/>
      <c r="C3" s="7"/>
      <c r="D3" s="7"/>
      <c r="E3" s="11"/>
      <c r="F3" s="10"/>
      <c r="G3" s="9"/>
      <c r="H3" s="8"/>
      <c r="I3" s="23">
        <f>SUM(I5:I9)</f>
        <v>332417.99999999994</v>
      </c>
    </row>
    <row r="4" spans="1:13" ht="15.75" thickBot="1" x14ac:dyDescent="0.3">
      <c r="A4" s="3" t="s">
        <v>6</v>
      </c>
      <c r="B4" s="7"/>
      <c r="C4" s="7"/>
      <c r="D4" s="7"/>
      <c r="E4" s="12"/>
      <c r="F4" s="10"/>
      <c r="G4" s="9"/>
      <c r="H4" s="8"/>
      <c r="I4" s="24"/>
    </row>
    <row r="5" spans="1:13" ht="15.75" thickBot="1" x14ac:dyDescent="0.3">
      <c r="A5" s="3" t="s">
        <v>7</v>
      </c>
      <c r="B5" s="7"/>
      <c r="C5" s="7"/>
      <c r="D5" s="7"/>
      <c r="E5" s="46"/>
      <c r="F5" s="47"/>
      <c r="G5" s="26"/>
      <c r="H5" s="8"/>
      <c r="I5" s="24"/>
      <c r="K5" s="6"/>
      <c r="L5" s="136"/>
      <c r="M5" s="137"/>
    </row>
    <row r="6" spans="1:13" x14ac:dyDescent="0.25">
      <c r="A6" s="4" t="s">
        <v>34</v>
      </c>
      <c r="B6" s="138">
        <v>7.33</v>
      </c>
      <c r="C6" s="138">
        <v>4.8</v>
      </c>
      <c r="D6" s="138">
        <f t="shared" ref="D6:D8" si="0">B6-C6</f>
        <v>2.5300000000000002</v>
      </c>
      <c r="E6" s="140">
        <v>4500</v>
      </c>
      <c r="F6" s="141">
        <v>-2019</v>
      </c>
      <c r="G6" s="142">
        <f>E6*D6</f>
        <v>11385.000000000002</v>
      </c>
      <c r="H6" s="144">
        <v>1</v>
      </c>
      <c r="I6" s="127">
        <f>G6*H6</f>
        <v>11385.000000000002</v>
      </c>
      <c r="L6" s="136"/>
      <c r="M6" s="137"/>
    </row>
    <row r="7" spans="1:13" x14ac:dyDescent="0.25">
      <c r="A7" s="25" t="s">
        <v>32</v>
      </c>
      <c r="B7" s="139"/>
      <c r="C7" s="139"/>
      <c r="D7" s="139"/>
      <c r="E7" s="130"/>
      <c r="F7" s="131"/>
      <c r="G7" s="143"/>
      <c r="H7" s="145"/>
      <c r="I7" s="128"/>
    </row>
    <row r="8" spans="1:13" x14ac:dyDescent="0.25">
      <c r="A8" s="4" t="s">
        <v>33</v>
      </c>
      <c r="B8" s="129">
        <v>3</v>
      </c>
      <c r="C8" s="129">
        <v>1.87</v>
      </c>
      <c r="D8" s="129">
        <f t="shared" si="0"/>
        <v>1.1299999999999999</v>
      </c>
      <c r="E8" s="130">
        <v>284100</v>
      </c>
      <c r="F8" s="131">
        <v>-2019</v>
      </c>
      <c r="G8" s="132">
        <f>E8*D8</f>
        <v>321032.99999999994</v>
      </c>
      <c r="H8" s="133">
        <v>1</v>
      </c>
      <c r="I8" s="128">
        <f>G8*H8</f>
        <v>321032.99999999994</v>
      </c>
      <c r="K8" s="6"/>
    </row>
    <row r="9" spans="1:13" x14ac:dyDescent="0.25">
      <c r="A9" s="25" t="s">
        <v>32</v>
      </c>
      <c r="B9" s="129"/>
      <c r="C9" s="129"/>
      <c r="D9" s="129"/>
      <c r="E9" s="130"/>
      <c r="F9" s="131"/>
      <c r="G9" s="132"/>
      <c r="H9" s="134"/>
      <c r="I9" s="128"/>
      <c r="K9" s="6"/>
    </row>
    <row r="10" spans="1:13" x14ac:dyDescent="0.25">
      <c r="A10" s="41"/>
      <c r="B10" s="41"/>
      <c r="C10" s="41"/>
      <c r="D10" s="41"/>
      <c r="E10" s="41"/>
      <c r="F10" s="41"/>
      <c r="G10" s="41"/>
      <c r="I10" s="41"/>
    </row>
    <row r="11" spans="1:13" x14ac:dyDescent="0.25">
      <c r="A11" s="20" t="s">
        <v>24</v>
      </c>
    </row>
    <row r="12" spans="1:13" x14ac:dyDescent="0.25">
      <c r="A12" s="20" t="s">
        <v>25</v>
      </c>
    </row>
    <row r="13" spans="1:13" x14ac:dyDescent="0.25">
      <c r="A13" s="20" t="s">
        <v>26</v>
      </c>
    </row>
    <row r="14" spans="1:13" x14ac:dyDescent="0.25">
      <c r="A14" s="20" t="s">
        <v>27</v>
      </c>
    </row>
    <row r="15" spans="1:13" x14ac:dyDescent="0.25">
      <c r="A15" s="20" t="s">
        <v>28</v>
      </c>
    </row>
    <row r="16" spans="1:13" x14ac:dyDescent="0.25">
      <c r="A16" s="20" t="s">
        <v>29</v>
      </c>
    </row>
    <row r="17" spans="1:2" x14ac:dyDescent="0.25">
      <c r="A17" s="20" t="s">
        <v>31</v>
      </c>
    </row>
    <row r="18" spans="1:2" x14ac:dyDescent="0.25">
      <c r="A18" s="20" t="s">
        <v>30</v>
      </c>
    </row>
    <row r="19" spans="1:2" x14ac:dyDescent="0.25">
      <c r="A19" s="20"/>
    </row>
    <row r="20" spans="1:2" x14ac:dyDescent="0.25">
      <c r="A20" s="5" t="s">
        <v>55</v>
      </c>
      <c r="B20" s="45" t="s">
        <v>56</v>
      </c>
    </row>
    <row r="21" spans="1:2" x14ac:dyDescent="0.25">
      <c r="A21" s="20"/>
    </row>
    <row r="22" spans="1:2" x14ac:dyDescent="0.25">
      <c r="A22" s="20"/>
    </row>
    <row r="23" spans="1:2" x14ac:dyDescent="0.25">
      <c r="A23" s="20"/>
    </row>
    <row r="24" spans="1:2" x14ac:dyDescent="0.25">
      <c r="A24" s="20"/>
    </row>
    <row r="25" spans="1:2" x14ac:dyDescent="0.25">
      <c r="A25" s="20"/>
    </row>
  </sheetData>
  <mergeCells count="19">
    <mergeCell ref="E2:F2"/>
    <mergeCell ref="L5:L6"/>
    <mergeCell ref="M5:M6"/>
    <mergeCell ref="B6:B7"/>
    <mergeCell ref="C6:C7"/>
    <mergeCell ref="D6:D7"/>
    <mergeCell ref="E6:E7"/>
    <mergeCell ref="F6:F7"/>
    <mergeCell ref="G6:G7"/>
    <mergeCell ref="H6:H7"/>
    <mergeCell ref="I6:I7"/>
    <mergeCell ref="B8:B9"/>
    <mergeCell ref="C8:C9"/>
    <mergeCell ref="D8:D9"/>
    <mergeCell ref="E8:E9"/>
    <mergeCell ref="F8:F9"/>
    <mergeCell ref="G8:G9"/>
    <mergeCell ref="H8:H9"/>
    <mergeCell ref="I8:I9"/>
  </mergeCells>
  <hyperlinks>
    <hyperlink ref="B20" r:id="rId1" xr:uid="{00000000-0004-0000-0200-000000000000}"/>
  </hyperlinks>
  <pageMargins left="0.7" right="0.7" top="0.75" bottom="0.75" header="0.3" footer="0.3"/>
  <pageSetup scale="6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H56"/>
  <sheetViews>
    <sheetView workbookViewId="0">
      <selection activeCell="I33" sqref="I33"/>
    </sheetView>
  </sheetViews>
  <sheetFormatPr defaultRowHeight="15" x14ac:dyDescent="0.25"/>
  <cols>
    <col min="3" max="5" width="15.7109375" customWidth="1"/>
    <col min="6" max="6" width="14.28515625" bestFit="1" customWidth="1"/>
  </cols>
  <sheetData>
    <row r="1" spans="3:8" x14ac:dyDescent="0.25">
      <c r="H1" t="s">
        <v>46</v>
      </c>
    </row>
    <row r="2" spans="3:8" x14ac:dyDescent="0.25">
      <c r="C2" s="146" t="s">
        <v>48</v>
      </c>
      <c r="D2" s="146"/>
      <c r="E2">
        <f>291110/9</f>
        <v>32345.555555555555</v>
      </c>
      <c r="H2" t="s">
        <v>45</v>
      </c>
    </row>
    <row r="3" spans="3:8" x14ac:dyDescent="0.25">
      <c r="C3" s="146" t="s">
        <v>36</v>
      </c>
      <c r="D3" s="146"/>
      <c r="E3" s="30">
        <v>150</v>
      </c>
      <c r="H3" t="s">
        <v>49</v>
      </c>
    </row>
    <row r="4" spans="3:8" x14ac:dyDescent="0.25">
      <c r="C4" s="146"/>
      <c r="D4" s="146"/>
      <c r="H4" t="s">
        <v>100</v>
      </c>
    </row>
    <row r="5" spans="3:8" x14ac:dyDescent="0.25">
      <c r="C5" s="146" t="s">
        <v>53</v>
      </c>
      <c r="D5" s="146"/>
      <c r="E5" s="30">
        <v>8</v>
      </c>
      <c r="H5" t="s">
        <v>47</v>
      </c>
    </row>
    <row r="6" spans="3:8" x14ac:dyDescent="0.25">
      <c r="C6" s="146"/>
      <c r="D6" s="146"/>
    </row>
    <row r="7" spans="3:8" x14ac:dyDescent="0.25">
      <c r="C7" s="146"/>
      <c r="D7" s="146"/>
      <c r="E7" s="30"/>
    </row>
    <row r="8" spans="3:8" x14ac:dyDescent="0.25">
      <c r="C8" s="146"/>
      <c r="D8" s="146"/>
      <c r="E8" s="30"/>
    </row>
    <row r="9" spans="3:8" x14ac:dyDescent="0.25">
      <c r="C9" s="146"/>
      <c r="D9" s="146"/>
      <c r="E9" s="34"/>
    </row>
    <row r="10" spans="3:8" x14ac:dyDescent="0.25">
      <c r="C10" s="146" t="s">
        <v>39</v>
      </c>
      <c r="D10" s="146"/>
      <c r="E10" s="34">
        <f>E2*2.5*112/2000</f>
        <v>4528.3777777777777</v>
      </c>
    </row>
    <row r="11" spans="3:8" x14ac:dyDescent="0.25">
      <c r="C11" s="146" t="s">
        <v>40</v>
      </c>
      <c r="D11" s="146"/>
      <c r="E11" s="30">
        <v>140</v>
      </c>
    </row>
    <row r="13" spans="3:8" ht="30" x14ac:dyDescent="0.25">
      <c r="C13" s="33" t="s">
        <v>38</v>
      </c>
      <c r="D13" s="33" t="s">
        <v>41</v>
      </c>
      <c r="E13" s="33" t="s">
        <v>11</v>
      </c>
      <c r="F13" s="33" t="s">
        <v>37</v>
      </c>
    </row>
    <row r="14" spans="3:8" x14ac:dyDescent="0.25">
      <c r="C14" s="31"/>
      <c r="D14" s="79"/>
      <c r="E14" s="79">
        <v>2020</v>
      </c>
      <c r="F14" s="32"/>
    </row>
    <row r="15" spans="3:8" x14ac:dyDescent="0.25">
      <c r="C15" s="31"/>
      <c r="D15" s="79">
        <v>0</v>
      </c>
      <c r="E15" s="79">
        <v>2021</v>
      </c>
      <c r="F15" s="32"/>
    </row>
    <row r="16" spans="3:8" x14ac:dyDescent="0.25">
      <c r="C16" s="31"/>
      <c r="D16" s="79">
        <v>1</v>
      </c>
      <c r="E16" s="79">
        <f t="shared" ref="E16:E56" si="0">E15+1</f>
        <v>2022</v>
      </c>
      <c r="F16" s="32"/>
    </row>
    <row r="17" spans="3:6" x14ac:dyDescent="0.25">
      <c r="C17" s="31">
        <v>0</v>
      </c>
      <c r="D17" s="79">
        <f>D16+1</f>
        <v>2</v>
      </c>
      <c r="E17" s="79">
        <f t="shared" si="0"/>
        <v>2023</v>
      </c>
      <c r="F17" s="32"/>
    </row>
    <row r="18" spans="3:6" x14ac:dyDescent="0.25">
      <c r="C18" s="31">
        <v>1</v>
      </c>
      <c r="D18" s="79">
        <f t="shared" ref="D18:D56" si="1">D17+1</f>
        <v>3</v>
      </c>
      <c r="E18" s="79">
        <f t="shared" si="0"/>
        <v>2024</v>
      </c>
      <c r="F18" s="32"/>
    </row>
    <row r="19" spans="3:6" x14ac:dyDescent="0.25">
      <c r="C19" s="31">
        <f>C18+1</f>
        <v>2</v>
      </c>
      <c r="D19" s="79">
        <f t="shared" si="1"/>
        <v>4</v>
      </c>
      <c r="E19" s="79">
        <f t="shared" si="0"/>
        <v>2025</v>
      </c>
      <c r="F19" s="32"/>
    </row>
    <row r="20" spans="3:6" x14ac:dyDescent="0.25">
      <c r="C20" s="31">
        <f t="shared" ref="C20:C56" si="2">C19+1</f>
        <v>3</v>
      </c>
      <c r="D20" s="79">
        <f t="shared" si="1"/>
        <v>5</v>
      </c>
      <c r="E20" s="79">
        <f t="shared" si="0"/>
        <v>2026</v>
      </c>
      <c r="F20" s="32"/>
    </row>
    <row r="21" spans="3:6" x14ac:dyDescent="0.25">
      <c r="C21" s="31">
        <f t="shared" si="2"/>
        <v>4</v>
      </c>
      <c r="D21" s="79">
        <f t="shared" si="1"/>
        <v>6</v>
      </c>
      <c r="E21" s="79">
        <f t="shared" si="0"/>
        <v>2027</v>
      </c>
      <c r="F21" s="32"/>
    </row>
    <row r="22" spans="3:6" x14ac:dyDescent="0.25">
      <c r="C22" s="31">
        <f t="shared" si="2"/>
        <v>5</v>
      </c>
      <c r="D22" s="79">
        <f t="shared" si="1"/>
        <v>7</v>
      </c>
      <c r="E22" s="79">
        <f t="shared" si="0"/>
        <v>2028</v>
      </c>
      <c r="F22" s="32"/>
    </row>
    <row r="23" spans="3:6" x14ac:dyDescent="0.25">
      <c r="C23" s="31">
        <f t="shared" si="2"/>
        <v>6</v>
      </c>
      <c r="D23" s="79">
        <f t="shared" si="1"/>
        <v>8</v>
      </c>
      <c r="E23" s="79">
        <f t="shared" si="0"/>
        <v>2029</v>
      </c>
      <c r="F23" s="32"/>
    </row>
    <row r="24" spans="3:6" x14ac:dyDescent="0.25">
      <c r="C24" s="31">
        <f t="shared" si="2"/>
        <v>7</v>
      </c>
      <c r="D24" s="79">
        <f t="shared" si="1"/>
        <v>9</v>
      </c>
      <c r="E24" s="79">
        <f t="shared" si="0"/>
        <v>2030</v>
      </c>
      <c r="F24" s="32"/>
    </row>
    <row r="25" spans="3:6" x14ac:dyDescent="0.25">
      <c r="C25" s="31">
        <f t="shared" si="2"/>
        <v>8</v>
      </c>
      <c r="D25" s="79">
        <f t="shared" si="1"/>
        <v>10</v>
      </c>
      <c r="E25" s="79">
        <f t="shared" si="0"/>
        <v>2031</v>
      </c>
      <c r="F25" s="32"/>
    </row>
    <row r="26" spans="3:6" x14ac:dyDescent="0.25">
      <c r="C26" s="31">
        <f t="shared" si="2"/>
        <v>9</v>
      </c>
      <c r="D26" s="79">
        <f t="shared" si="1"/>
        <v>11</v>
      </c>
      <c r="E26" s="79">
        <f t="shared" si="0"/>
        <v>2032</v>
      </c>
      <c r="F26" s="32"/>
    </row>
    <row r="27" spans="3:6" x14ac:dyDescent="0.25">
      <c r="C27" s="31">
        <f t="shared" si="2"/>
        <v>10</v>
      </c>
      <c r="D27" s="79">
        <f t="shared" si="1"/>
        <v>12</v>
      </c>
      <c r="E27" s="79">
        <f t="shared" si="0"/>
        <v>2033</v>
      </c>
      <c r="F27" s="32"/>
    </row>
    <row r="28" spans="3:6" x14ac:dyDescent="0.25">
      <c r="C28" s="31">
        <f t="shared" si="2"/>
        <v>11</v>
      </c>
      <c r="D28" s="79">
        <f t="shared" si="1"/>
        <v>13</v>
      </c>
      <c r="E28" s="79">
        <f t="shared" si="0"/>
        <v>2034</v>
      </c>
      <c r="F28" s="32"/>
    </row>
    <row r="29" spans="3:6" x14ac:dyDescent="0.25">
      <c r="C29" s="31">
        <f t="shared" si="2"/>
        <v>12</v>
      </c>
      <c r="D29" s="79">
        <f t="shared" si="1"/>
        <v>14</v>
      </c>
      <c r="E29" s="79">
        <f t="shared" si="0"/>
        <v>2035</v>
      </c>
      <c r="F29" s="32">
        <f>E10*E11+E2*0.05*E3+E5*E2</f>
        <v>1135329</v>
      </c>
    </row>
    <row r="30" spans="3:6" x14ac:dyDescent="0.25">
      <c r="C30" s="31">
        <f t="shared" si="2"/>
        <v>13</v>
      </c>
      <c r="D30" s="79">
        <f t="shared" si="1"/>
        <v>15</v>
      </c>
      <c r="E30" s="79">
        <f t="shared" si="0"/>
        <v>2036</v>
      </c>
      <c r="F30" s="32"/>
    </row>
    <row r="31" spans="3:6" x14ac:dyDescent="0.25">
      <c r="C31" s="31">
        <f t="shared" si="2"/>
        <v>14</v>
      </c>
      <c r="D31" s="79">
        <f t="shared" si="1"/>
        <v>16</v>
      </c>
      <c r="E31" s="79">
        <f t="shared" si="0"/>
        <v>2037</v>
      </c>
      <c r="F31" s="32"/>
    </row>
    <row r="32" spans="3:6" x14ac:dyDescent="0.25">
      <c r="C32" s="31">
        <f t="shared" si="2"/>
        <v>15</v>
      </c>
      <c r="D32" s="79">
        <f t="shared" si="1"/>
        <v>17</v>
      </c>
      <c r="E32" s="79">
        <f t="shared" si="0"/>
        <v>2038</v>
      </c>
      <c r="F32" s="32"/>
    </row>
    <row r="33" spans="3:6" x14ac:dyDescent="0.25">
      <c r="C33" s="31">
        <f t="shared" si="2"/>
        <v>16</v>
      </c>
      <c r="D33" s="79">
        <f t="shared" si="1"/>
        <v>18</v>
      </c>
      <c r="E33" s="79">
        <f t="shared" si="0"/>
        <v>2039</v>
      </c>
      <c r="F33" s="32"/>
    </row>
    <row r="34" spans="3:6" x14ac:dyDescent="0.25">
      <c r="C34" s="31">
        <f t="shared" si="2"/>
        <v>17</v>
      </c>
      <c r="D34" s="79">
        <f t="shared" si="1"/>
        <v>19</v>
      </c>
      <c r="E34" s="79">
        <f t="shared" si="0"/>
        <v>2040</v>
      </c>
      <c r="F34" s="32"/>
    </row>
    <row r="35" spans="3:6" x14ac:dyDescent="0.25">
      <c r="C35" s="31">
        <f t="shared" si="2"/>
        <v>18</v>
      </c>
      <c r="D35" s="79">
        <f t="shared" si="1"/>
        <v>20</v>
      </c>
      <c r="E35" s="79">
        <f t="shared" si="0"/>
        <v>2041</v>
      </c>
      <c r="F35" s="32"/>
    </row>
    <row r="36" spans="3:6" x14ac:dyDescent="0.25">
      <c r="C36" s="31">
        <f t="shared" si="2"/>
        <v>19</v>
      </c>
      <c r="D36" s="79">
        <f t="shared" si="1"/>
        <v>21</v>
      </c>
      <c r="E36" s="79">
        <f t="shared" si="0"/>
        <v>2042</v>
      </c>
      <c r="F36" s="32"/>
    </row>
    <row r="37" spans="3:6" x14ac:dyDescent="0.25">
      <c r="C37" s="31">
        <f t="shared" si="2"/>
        <v>20</v>
      </c>
      <c r="D37" s="79">
        <f t="shared" si="1"/>
        <v>22</v>
      </c>
      <c r="E37" s="79">
        <f t="shared" si="0"/>
        <v>2043</v>
      </c>
      <c r="F37" s="32"/>
    </row>
    <row r="38" spans="3:6" x14ac:dyDescent="0.25">
      <c r="C38" s="31">
        <f t="shared" si="2"/>
        <v>21</v>
      </c>
      <c r="D38" s="79">
        <f t="shared" si="1"/>
        <v>23</v>
      </c>
      <c r="E38" s="79">
        <f t="shared" si="0"/>
        <v>2044</v>
      </c>
      <c r="F38" s="32"/>
    </row>
    <row r="39" spans="3:6" x14ac:dyDescent="0.25">
      <c r="C39" s="31">
        <f t="shared" si="2"/>
        <v>22</v>
      </c>
      <c r="D39" s="79">
        <f t="shared" si="1"/>
        <v>24</v>
      </c>
      <c r="E39" s="79">
        <f t="shared" si="0"/>
        <v>2045</v>
      </c>
      <c r="F39" s="32"/>
    </row>
    <row r="40" spans="3:6" x14ac:dyDescent="0.25">
      <c r="C40" s="31">
        <f t="shared" si="2"/>
        <v>23</v>
      </c>
      <c r="D40" s="79">
        <f t="shared" si="1"/>
        <v>25</v>
      </c>
      <c r="E40" s="79">
        <f t="shared" si="0"/>
        <v>2046</v>
      </c>
      <c r="F40" s="32"/>
    </row>
    <row r="41" spans="3:6" x14ac:dyDescent="0.25">
      <c r="C41" s="31">
        <f t="shared" si="2"/>
        <v>24</v>
      </c>
      <c r="D41" s="79">
        <f t="shared" si="1"/>
        <v>26</v>
      </c>
      <c r="E41" s="79">
        <f t="shared" si="0"/>
        <v>2047</v>
      </c>
      <c r="F41" s="32">
        <f>F29</f>
        <v>1135329</v>
      </c>
    </row>
    <row r="42" spans="3:6" x14ac:dyDescent="0.25">
      <c r="C42" s="31">
        <f t="shared" si="2"/>
        <v>25</v>
      </c>
      <c r="D42" s="79">
        <f t="shared" si="1"/>
        <v>27</v>
      </c>
      <c r="E42" s="79">
        <f t="shared" si="0"/>
        <v>2048</v>
      </c>
      <c r="F42" s="32"/>
    </row>
    <row r="43" spans="3:6" x14ac:dyDescent="0.25">
      <c r="C43" s="31">
        <f t="shared" si="2"/>
        <v>26</v>
      </c>
      <c r="D43" s="79">
        <f t="shared" si="1"/>
        <v>28</v>
      </c>
      <c r="E43" s="79">
        <f t="shared" si="0"/>
        <v>2049</v>
      </c>
      <c r="F43" s="32"/>
    </row>
    <row r="44" spans="3:6" x14ac:dyDescent="0.25">
      <c r="C44" s="31">
        <f t="shared" si="2"/>
        <v>27</v>
      </c>
      <c r="D44" s="79">
        <f t="shared" si="1"/>
        <v>29</v>
      </c>
      <c r="E44" s="79">
        <f t="shared" si="0"/>
        <v>2050</v>
      </c>
      <c r="F44" s="32"/>
    </row>
    <row r="45" spans="3:6" x14ac:dyDescent="0.25">
      <c r="C45" s="31">
        <f t="shared" si="2"/>
        <v>28</v>
      </c>
      <c r="D45" s="79">
        <f t="shared" si="1"/>
        <v>30</v>
      </c>
      <c r="E45" s="79">
        <f t="shared" si="0"/>
        <v>2051</v>
      </c>
      <c r="F45" s="32"/>
    </row>
    <row r="46" spans="3:6" x14ac:dyDescent="0.25">
      <c r="C46" s="31">
        <f t="shared" si="2"/>
        <v>29</v>
      </c>
      <c r="D46" s="79">
        <f t="shared" si="1"/>
        <v>31</v>
      </c>
      <c r="E46" s="79">
        <f t="shared" si="0"/>
        <v>2052</v>
      </c>
      <c r="F46" s="32"/>
    </row>
    <row r="47" spans="3:6" x14ac:dyDescent="0.25">
      <c r="C47" s="31">
        <f t="shared" si="2"/>
        <v>30</v>
      </c>
      <c r="D47" s="79">
        <f t="shared" si="1"/>
        <v>32</v>
      </c>
      <c r="E47" s="79">
        <f t="shared" si="0"/>
        <v>2053</v>
      </c>
      <c r="F47" s="32"/>
    </row>
    <row r="48" spans="3:6" x14ac:dyDescent="0.25">
      <c r="C48" s="31">
        <f t="shared" si="2"/>
        <v>31</v>
      </c>
      <c r="D48" s="79">
        <f t="shared" si="1"/>
        <v>33</v>
      </c>
      <c r="E48" s="79">
        <f t="shared" si="0"/>
        <v>2054</v>
      </c>
      <c r="F48" s="32"/>
    </row>
    <row r="49" spans="3:6" x14ac:dyDescent="0.25">
      <c r="C49" s="31">
        <f t="shared" si="2"/>
        <v>32</v>
      </c>
      <c r="D49" s="79">
        <f t="shared" si="1"/>
        <v>34</v>
      </c>
      <c r="E49" s="79">
        <f t="shared" si="0"/>
        <v>2055</v>
      </c>
      <c r="F49" s="32"/>
    </row>
    <row r="50" spans="3:6" x14ac:dyDescent="0.25">
      <c r="C50" s="31">
        <f t="shared" si="2"/>
        <v>33</v>
      </c>
      <c r="D50" s="79">
        <f t="shared" si="1"/>
        <v>35</v>
      </c>
      <c r="E50" s="79">
        <f t="shared" si="0"/>
        <v>2056</v>
      </c>
      <c r="F50" s="32">
        <f>F41</f>
        <v>1135329</v>
      </c>
    </row>
    <row r="51" spans="3:6" x14ac:dyDescent="0.25">
      <c r="C51" s="31">
        <f t="shared" si="2"/>
        <v>34</v>
      </c>
      <c r="D51" s="79">
        <f t="shared" si="1"/>
        <v>36</v>
      </c>
      <c r="E51" s="79">
        <f t="shared" si="0"/>
        <v>2057</v>
      </c>
      <c r="F51" s="32"/>
    </row>
    <row r="52" spans="3:6" x14ac:dyDescent="0.25">
      <c r="C52" s="31">
        <f t="shared" si="2"/>
        <v>35</v>
      </c>
      <c r="D52" s="79">
        <f t="shared" si="1"/>
        <v>37</v>
      </c>
      <c r="E52" s="79">
        <f t="shared" si="0"/>
        <v>2058</v>
      </c>
      <c r="F52" s="32"/>
    </row>
    <row r="53" spans="3:6" x14ac:dyDescent="0.25">
      <c r="C53" s="31">
        <f t="shared" si="2"/>
        <v>36</v>
      </c>
      <c r="D53" s="79">
        <f t="shared" si="1"/>
        <v>38</v>
      </c>
      <c r="E53" s="79">
        <f t="shared" si="0"/>
        <v>2059</v>
      </c>
      <c r="F53" s="32"/>
    </row>
    <row r="54" spans="3:6" x14ac:dyDescent="0.25">
      <c r="C54" s="31">
        <f t="shared" si="2"/>
        <v>37</v>
      </c>
      <c r="D54" s="79">
        <f t="shared" si="1"/>
        <v>39</v>
      </c>
      <c r="E54" s="79">
        <f t="shared" si="0"/>
        <v>2060</v>
      </c>
      <c r="F54" s="32"/>
    </row>
    <row r="55" spans="3:6" x14ac:dyDescent="0.25">
      <c r="C55" s="31">
        <f t="shared" si="2"/>
        <v>38</v>
      </c>
      <c r="D55" s="79">
        <f t="shared" si="1"/>
        <v>40</v>
      </c>
      <c r="E55" s="79">
        <f t="shared" si="0"/>
        <v>2061</v>
      </c>
      <c r="F55" s="32"/>
    </row>
    <row r="56" spans="3:6" x14ac:dyDescent="0.25">
      <c r="C56" s="31">
        <f t="shared" si="2"/>
        <v>39</v>
      </c>
      <c r="D56" s="79">
        <f t="shared" si="1"/>
        <v>41</v>
      </c>
      <c r="E56" s="79">
        <f t="shared" si="0"/>
        <v>2062</v>
      </c>
      <c r="F56" s="32"/>
    </row>
  </sheetData>
  <mergeCells count="10">
    <mergeCell ref="C8:D8"/>
    <mergeCell ref="C9:D9"/>
    <mergeCell ref="C10:D10"/>
    <mergeCell ref="C11:D11"/>
    <mergeCell ref="C2:D2"/>
    <mergeCell ref="C3:D3"/>
    <mergeCell ref="C4:D4"/>
    <mergeCell ref="C5:D5"/>
    <mergeCell ref="C6:D6"/>
    <mergeCell ref="C7:D7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topLeftCell="C1" workbookViewId="0">
      <selection activeCell="N9" sqref="N9"/>
    </sheetView>
  </sheetViews>
  <sheetFormatPr defaultRowHeight="15" x14ac:dyDescent="0.25"/>
  <cols>
    <col min="1" max="1" width="30.5703125" style="77" bestFit="1" customWidth="1"/>
    <col min="2" max="2" width="12" style="77" bestFit="1" customWidth="1"/>
    <col min="3" max="3" width="16.5703125" style="77" bestFit="1" customWidth="1"/>
    <col min="4" max="4" width="9.140625" style="77"/>
    <col min="5" max="5" width="21" style="77" bestFit="1" customWidth="1"/>
    <col min="6" max="7" width="9.140625" style="77"/>
    <col min="8" max="8" width="20.28515625" style="77" bestFit="1" customWidth="1"/>
    <col min="9" max="9" width="9.140625" style="77"/>
    <col min="10" max="14" width="10.140625" style="77" customWidth="1"/>
    <col min="15" max="16384" width="9.140625" style="77"/>
  </cols>
  <sheetData>
    <row r="1" spans="1:14" ht="30.75" thickBot="1" x14ac:dyDescent="0.3">
      <c r="A1" s="77" t="s">
        <v>140</v>
      </c>
      <c r="B1" s="77" t="s">
        <v>139</v>
      </c>
      <c r="C1" s="77" t="s">
        <v>138</v>
      </c>
      <c r="D1" s="77" t="s">
        <v>137</v>
      </c>
      <c r="H1" s="150"/>
      <c r="I1" s="151"/>
      <c r="J1" s="95" t="s">
        <v>136</v>
      </c>
      <c r="K1" s="147" t="s">
        <v>135</v>
      </c>
      <c r="L1" s="147"/>
      <c r="M1" s="95" t="s">
        <v>134</v>
      </c>
      <c r="N1" s="94" t="s">
        <v>133</v>
      </c>
    </row>
    <row r="2" spans="1:14" x14ac:dyDescent="0.25">
      <c r="A2" s="77" t="s">
        <v>129</v>
      </c>
      <c r="B2" s="77" t="s">
        <v>132</v>
      </c>
      <c r="C2" s="77" t="s">
        <v>131</v>
      </c>
      <c r="D2" s="93">
        <v>0.56399999999999995</v>
      </c>
      <c r="E2" s="77" t="s">
        <v>117</v>
      </c>
      <c r="H2" s="148" t="s">
        <v>130</v>
      </c>
      <c r="I2" s="90" t="s">
        <v>115</v>
      </c>
      <c r="J2" s="89">
        <f>1/3</f>
        <v>0.33333333333333331</v>
      </c>
      <c r="K2" s="90">
        <v>0.61399999999999999</v>
      </c>
      <c r="L2" s="90"/>
      <c r="M2" s="89">
        <f>J2*K2</f>
        <v>0.20466666666666666</v>
      </c>
      <c r="N2" s="92"/>
    </row>
    <row r="3" spans="1:14" ht="15.75" thickBot="1" x14ac:dyDescent="0.3">
      <c r="A3" s="77" t="s">
        <v>129</v>
      </c>
      <c r="B3" s="77" t="s">
        <v>128</v>
      </c>
      <c r="C3" s="77" t="s">
        <v>127</v>
      </c>
      <c r="D3" s="77">
        <f>0.89</f>
        <v>0.89</v>
      </c>
      <c r="E3" s="77" t="s">
        <v>117</v>
      </c>
      <c r="H3" s="149"/>
      <c r="I3" s="87" t="s">
        <v>114</v>
      </c>
      <c r="J3" s="86">
        <f>4/3</f>
        <v>1.3333333333333333</v>
      </c>
      <c r="K3" s="87">
        <v>0.61399999999999999</v>
      </c>
      <c r="L3" s="87"/>
      <c r="M3" s="86">
        <f>J3*K3</f>
        <v>0.81866666666666665</v>
      </c>
      <c r="N3" s="91"/>
    </row>
    <row r="4" spans="1:14" x14ac:dyDescent="0.25">
      <c r="A4" s="77" t="s">
        <v>126</v>
      </c>
      <c r="B4" s="77" t="s">
        <v>125</v>
      </c>
      <c r="C4" s="77" t="s">
        <v>124</v>
      </c>
      <c r="D4" s="77">
        <v>0.61399999999999999</v>
      </c>
      <c r="E4" s="77" t="s">
        <v>117</v>
      </c>
      <c r="H4" s="148" t="s">
        <v>123</v>
      </c>
      <c r="I4" s="90" t="s">
        <v>115</v>
      </c>
      <c r="J4" s="89">
        <f>2/3</f>
        <v>0.66666666666666663</v>
      </c>
      <c r="K4" s="90">
        <v>0.89</v>
      </c>
      <c r="L4" s="90">
        <v>0.56399999999999995</v>
      </c>
      <c r="M4" s="89">
        <f>J4*K4*L4</f>
        <v>0.33463999999999994</v>
      </c>
      <c r="N4" s="92"/>
    </row>
    <row r="5" spans="1:14" ht="15.75" thickBot="1" x14ac:dyDescent="0.3">
      <c r="A5" s="77" t="s">
        <v>120</v>
      </c>
      <c r="B5" s="77" t="s">
        <v>122</v>
      </c>
      <c r="C5" s="77" t="s">
        <v>121</v>
      </c>
      <c r="D5" s="77">
        <v>0.72</v>
      </c>
      <c r="E5" s="77" t="s">
        <v>117</v>
      </c>
      <c r="H5" s="149"/>
      <c r="I5" s="87" t="s">
        <v>114</v>
      </c>
      <c r="J5" s="87">
        <v>0</v>
      </c>
      <c r="K5" s="87">
        <v>0.89</v>
      </c>
      <c r="L5" s="87">
        <v>0.56399999999999995</v>
      </c>
      <c r="M5" s="87">
        <f>J5*K5*L5</f>
        <v>0</v>
      </c>
      <c r="N5" s="91"/>
    </row>
    <row r="6" spans="1:14" x14ac:dyDescent="0.25">
      <c r="A6" s="77" t="s">
        <v>120</v>
      </c>
      <c r="B6" s="77" t="s">
        <v>119</v>
      </c>
      <c r="C6" s="77" t="s">
        <v>118</v>
      </c>
      <c r="D6" s="77">
        <v>0.92200000000000004</v>
      </c>
      <c r="E6" s="77" t="s">
        <v>117</v>
      </c>
      <c r="H6" s="148" t="s">
        <v>116</v>
      </c>
      <c r="I6" s="90" t="s">
        <v>115</v>
      </c>
      <c r="J6" s="90">
        <f>6/3</f>
        <v>2</v>
      </c>
      <c r="K6" s="90">
        <v>0.72</v>
      </c>
      <c r="L6" s="90">
        <v>0.92200000000000004</v>
      </c>
      <c r="M6" s="90">
        <f>J6*K6*L6</f>
        <v>1.32768</v>
      </c>
      <c r="N6" s="92"/>
    </row>
    <row r="7" spans="1:14" ht="15.75" thickBot="1" x14ac:dyDescent="0.3">
      <c r="H7" s="149"/>
      <c r="I7" s="87" t="s">
        <v>114</v>
      </c>
      <c r="J7" s="87">
        <f>18/3</f>
        <v>6</v>
      </c>
      <c r="K7" s="87">
        <v>0.72</v>
      </c>
      <c r="L7" s="87">
        <v>0.92200000000000004</v>
      </c>
      <c r="M7" s="87">
        <f>J7*K7*L7</f>
        <v>3.9830400000000004</v>
      </c>
      <c r="N7" s="91"/>
    </row>
    <row r="8" spans="1:14" x14ac:dyDescent="0.25">
      <c r="H8" s="148" t="s">
        <v>3</v>
      </c>
      <c r="I8" s="90" t="s">
        <v>115</v>
      </c>
      <c r="J8" s="89">
        <f>SUM(J2,J4,J6)</f>
        <v>3</v>
      </c>
      <c r="K8" s="90"/>
      <c r="L8" s="90"/>
      <c r="M8" s="89">
        <f>SUM(M2,M4,M6)</f>
        <v>1.8669866666666666</v>
      </c>
      <c r="N8" s="88">
        <f>J8-M8</f>
        <v>1.1330133333333334</v>
      </c>
    </row>
    <row r="9" spans="1:14" ht="15.75" thickBot="1" x14ac:dyDescent="0.3">
      <c r="H9" s="149"/>
      <c r="I9" s="87" t="s">
        <v>114</v>
      </c>
      <c r="J9" s="86">
        <f>SUM(J3,J5,J7)</f>
        <v>7.333333333333333</v>
      </c>
      <c r="K9" s="87"/>
      <c r="L9" s="87"/>
      <c r="M9" s="86">
        <f>SUM(M3,M5,M7)</f>
        <v>4.801706666666667</v>
      </c>
      <c r="N9" s="85">
        <f>J9-M9</f>
        <v>2.531626666666666</v>
      </c>
    </row>
    <row r="12" spans="1:14" x14ac:dyDescent="0.25">
      <c r="H12" s="84" t="s">
        <v>113</v>
      </c>
    </row>
    <row r="13" spans="1:14" x14ac:dyDescent="0.25">
      <c r="H13" s="82" t="s">
        <v>112</v>
      </c>
    </row>
    <row r="14" spans="1:14" x14ac:dyDescent="0.25">
      <c r="H14" s="83" t="s">
        <v>111</v>
      </c>
    </row>
    <row r="15" spans="1:14" x14ac:dyDescent="0.25">
      <c r="H15" s="82" t="s">
        <v>110</v>
      </c>
    </row>
    <row r="16" spans="1:14" x14ac:dyDescent="0.25">
      <c r="H16" s="82" t="s">
        <v>109</v>
      </c>
    </row>
    <row r="17" spans="8:10" x14ac:dyDescent="0.25">
      <c r="H17" s="82" t="s">
        <v>108</v>
      </c>
    </row>
    <row r="18" spans="8:10" x14ac:dyDescent="0.25">
      <c r="H18" s="82" t="s">
        <v>107</v>
      </c>
    </row>
    <row r="19" spans="8:10" x14ac:dyDescent="0.25">
      <c r="H19" s="82" t="s">
        <v>106</v>
      </c>
    </row>
    <row r="25" spans="8:10" ht="42.75" customHeight="1" x14ac:dyDescent="0.25">
      <c r="H25" s="33"/>
      <c r="I25" s="33"/>
      <c r="J25" s="33"/>
    </row>
  </sheetData>
  <mergeCells count="6">
    <mergeCell ref="K1:L1"/>
    <mergeCell ref="H2:H3"/>
    <mergeCell ref="H4:H5"/>
    <mergeCell ref="H6:H7"/>
    <mergeCell ref="H8:H9"/>
    <mergeCell ref="H1:I1"/>
  </mergeCells>
  <hyperlinks>
    <hyperlink ref="H14" r:id="rId1" display="http://www.cmfclearinghouse.org/detail.cfm?facid=2375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workbookViewId="0">
      <selection activeCell="E16" sqref="E16"/>
    </sheetView>
  </sheetViews>
  <sheetFormatPr defaultRowHeight="15" x14ac:dyDescent="0.25"/>
  <cols>
    <col min="1" max="1" width="12.5703125" customWidth="1"/>
    <col min="3" max="3" width="24.5703125" customWidth="1"/>
    <col min="4" max="4" width="16.28515625" customWidth="1"/>
    <col min="5" max="5" width="21.42578125" customWidth="1"/>
  </cols>
  <sheetData>
    <row r="1" spans="1:15" x14ac:dyDescent="0.25">
      <c r="A1" s="97" t="s">
        <v>170</v>
      </c>
    </row>
    <row r="2" spans="1:15" x14ac:dyDescent="0.25">
      <c r="A2" s="97" t="s">
        <v>169</v>
      </c>
    </row>
    <row r="3" spans="1:15" x14ac:dyDescent="0.25">
      <c r="A3">
        <v>201001057540</v>
      </c>
      <c r="B3">
        <v>2010</v>
      </c>
      <c r="C3" t="s">
        <v>168</v>
      </c>
      <c r="D3" t="s">
        <v>167</v>
      </c>
      <c r="E3" s="96">
        <v>40201.006249999999</v>
      </c>
      <c r="F3" t="s">
        <v>153</v>
      </c>
      <c r="G3" t="s">
        <v>152</v>
      </c>
      <c r="H3" t="s">
        <v>151</v>
      </c>
      <c r="I3" t="s">
        <v>150</v>
      </c>
      <c r="J3" t="s">
        <v>166</v>
      </c>
      <c r="K3" t="s">
        <v>165</v>
      </c>
      <c r="L3" t="s">
        <v>164</v>
      </c>
      <c r="M3" t="s">
        <v>163</v>
      </c>
      <c r="O3" t="s">
        <v>162</v>
      </c>
    </row>
    <row r="4" spans="1:15" x14ac:dyDescent="0.25">
      <c r="A4" s="97" t="s">
        <v>160</v>
      </c>
    </row>
    <row r="5" spans="1:15" x14ac:dyDescent="0.25">
      <c r="A5">
        <v>200901045145</v>
      </c>
      <c r="B5">
        <v>2009</v>
      </c>
      <c r="C5" t="s">
        <v>155</v>
      </c>
      <c r="D5" t="s">
        <v>159</v>
      </c>
      <c r="E5" s="96">
        <v>39839.27847222222</v>
      </c>
      <c r="F5" t="s">
        <v>153</v>
      </c>
      <c r="G5" t="s">
        <v>152</v>
      </c>
      <c r="H5" t="s">
        <v>151</v>
      </c>
      <c r="I5" t="s">
        <v>150</v>
      </c>
      <c r="J5" t="s">
        <v>158</v>
      </c>
      <c r="K5" t="s">
        <v>148</v>
      </c>
      <c r="L5" t="s">
        <v>157</v>
      </c>
      <c r="M5" t="s">
        <v>156</v>
      </c>
      <c r="O5" t="s">
        <v>145</v>
      </c>
    </row>
    <row r="6" spans="1:15" x14ac:dyDescent="0.25">
      <c r="A6">
        <v>200901283836</v>
      </c>
      <c r="B6">
        <v>2009</v>
      </c>
      <c r="C6" t="s">
        <v>155</v>
      </c>
      <c r="D6" t="s">
        <v>154</v>
      </c>
      <c r="E6" s="96">
        <v>40023.640972222223</v>
      </c>
      <c r="F6" t="s">
        <v>153</v>
      </c>
      <c r="G6" t="s">
        <v>152</v>
      </c>
      <c r="H6" t="s">
        <v>151</v>
      </c>
      <c r="I6" t="s">
        <v>150</v>
      </c>
      <c r="J6" t="s">
        <v>149</v>
      </c>
      <c r="K6" t="s">
        <v>148</v>
      </c>
      <c r="L6" t="s">
        <v>147</v>
      </c>
      <c r="M6" t="s">
        <v>146</v>
      </c>
      <c r="O6" t="s">
        <v>145</v>
      </c>
    </row>
    <row r="7" spans="1:15" x14ac:dyDescent="0.25">
      <c r="A7" s="97" t="s">
        <v>161</v>
      </c>
    </row>
    <row r="8" spans="1:15" x14ac:dyDescent="0.25">
      <c r="A8" s="97" t="s">
        <v>160</v>
      </c>
    </row>
    <row r="9" spans="1:15" x14ac:dyDescent="0.25">
      <c r="A9">
        <v>200901045145</v>
      </c>
      <c r="B9">
        <v>2009</v>
      </c>
      <c r="C9" t="s">
        <v>155</v>
      </c>
      <c r="D9" t="s">
        <v>159</v>
      </c>
      <c r="E9" s="96">
        <v>39839.27847222222</v>
      </c>
      <c r="F9" t="s">
        <v>153</v>
      </c>
      <c r="G9" t="s">
        <v>152</v>
      </c>
      <c r="H9" t="s">
        <v>151</v>
      </c>
      <c r="I9" t="s">
        <v>150</v>
      </c>
      <c r="J9" t="s">
        <v>158</v>
      </c>
      <c r="K9" t="s">
        <v>148</v>
      </c>
      <c r="L9" t="s">
        <v>157</v>
      </c>
      <c r="M9" t="s">
        <v>156</v>
      </c>
      <c r="O9" t="s">
        <v>145</v>
      </c>
    </row>
    <row r="10" spans="1:15" x14ac:dyDescent="0.25">
      <c r="A10">
        <v>200901283836</v>
      </c>
      <c r="B10">
        <v>2009</v>
      </c>
      <c r="C10" t="s">
        <v>155</v>
      </c>
      <c r="D10" t="s">
        <v>154</v>
      </c>
      <c r="E10" s="96">
        <v>40023.640972222223</v>
      </c>
      <c r="F10" t="s">
        <v>153</v>
      </c>
      <c r="G10" t="s">
        <v>152</v>
      </c>
      <c r="H10" t="s">
        <v>151</v>
      </c>
      <c r="I10" t="s">
        <v>150</v>
      </c>
      <c r="J10" t="s">
        <v>149</v>
      </c>
      <c r="K10" t="s">
        <v>148</v>
      </c>
      <c r="L10" t="s">
        <v>147</v>
      </c>
      <c r="M10" t="s">
        <v>146</v>
      </c>
      <c r="O10" t="s">
        <v>145</v>
      </c>
    </row>
    <row r="13" spans="1:15" x14ac:dyDescent="0.25">
      <c r="B13" t="s">
        <v>144</v>
      </c>
      <c r="C13">
        <v>0</v>
      </c>
      <c r="D13">
        <f>C13/3</f>
        <v>0</v>
      </c>
    </row>
    <row r="14" spans="1:15" x14ac:dyDescent="0.25">
      <c r="B14" t="s">
        <v>143</v>
      </c>
      <c r="C14">
        <v>1</v>
      </c>
      <c r="D14">
        <f>C14/3</f>
        <v>0.33333333333333331</v>
      </c>
    </row>
    <row r="15" spans="1:15" x14ac:dyDescent="0.25">
      <c r="B15" t="s">
        <v>142</v>
      </c>
      <c r="C15">
        <v>0</v>
      </c>
      <c r="D15">
        <f>C15/3</f>
        <v>0</v>
      </c>
    </row>
    <row r="16" spans="1:15" x14ac:dyDescent="0.25">
      <c r="B16" t="s">
        <v>141</v>
      </c>
      <c r="C16">
        <v>4</v>
      </c>
      <c r="D16">
        <f>C16/3</f>
        <v>1.3333333333333333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7"/>
  <sheetViews>
    <sheetView workbookViewId="0">
      <selection activeCell="A17" sqref="A17"/>
    </sheetView>
  </sheetViews>
  <sheetFormatPr defaultRowHeight="15" x14ac:dyDescent="0.25"/>
  <cols>
    <col min="1" max="1" width="12" bestFit="1" customWidth="1"/>
    <col min="4" max="4" width="20.140625" customWidth="1"/>
    <col min="5" max="5" width="23.85546875" customWidth="1"/>
  </cols>
  <sheetData>
    <row r="1" spans="1:15" x14ac:dyDescent="0.25">
      <c r="A1" t="s">
        <v>170</v>
      </c>
    </row>
    <row r="2" spans="1:15" x14ac:dyDescent="0.25">
      <c r="A2">
        <v>201101328751</v>
      </c>
      <c r="B2">
        <v>2011</v>
      </c>
      <c r="C2" t="s">
        <v>174</v>
      </c>
      <c r="D2" t="s">
        <v>159</v>
      </c>
      <c r="E2" s="96">
        <v>40790.668055555558</v>
      </c>
      <c r="F2" t="s">
        <v>153</v>
      </c>
      <c r="G2" t="s">
        <v>152</v>
      </c>
      <c r="H2" t="s">
        <v>151</v>
      </c>
      <c r="I2" t="s">
        <v>150</v>
      </c>
      <c r="J2" t="s">
        <v>149</v>
      </c>
      <c r="K2" t="s">
        <v>148</v>
      </c>
      <c r="L2" t="s">
        <v>147</v>
      </c>
      <c r="M2" t="s">
        <v>172</v>
      </c>
      <c r="O2" t="s">
        <v>162</v>
      </c>
    </row>
    <row r="3" spans="1:15" x14ac:dyDescent="0.25">
      <c r="A3" t="s">
        <v>169</v>
      </c>
    </row>
    <row r="4" spans="1:15" x14ac:dyDescent="0.25">
      <c r="A4">
        <v>200901283728</v>
      </c>
      <c r="B4">
        <v>2009</v>
      </c>
      <c r="C4" t="s">
        <v>173</v>
      </c>
      <c r="D4" t="s">
        <v>159</v>
      </c>
      <c r="E4" s="96">
        <v>40022.336805555555</v>
      </c>
      <c r="F4" t="s">
        <v>153</v>
      </c>
      <c r="G4" t="s">
        <v>152</v>
      </c>
      <c r="H4" t="s">
        <v>151</v>
      </c>
      <c r="I4" t="s">
        <v>150</v>
      </c>
      <c r="J4" t="s">
        <v>149</v>
      </c>
      <c r="K4" t="s">
        <v>148</v>
      </c>
      <c r="L4" t="s">
        <v>164</v>
      </c>
      <c r="M4" t="s">
        <v>172</v>
      </c>
      <c r="O4" t="s">
        <v>162</v>
      </c>
    </row>
    <row r="5" spans="1:15" x14ac:dyDescent="0.25">
      <c r="A5" t="s">
        <v>160</v>
      </c>
    </row>
    <row r="6" spans="1:15" x14ac:dyDescent="0.25">
      <c r="A6" t="s">
        <v>161</v>
      </c>
    </row>
    <row r="7" spans="1:15" x14ac:dyDescent="0.25">
      <c r="A7" t="s">
        <v>171</v>
      </c>
    </row>
    <row r="11" spans="1:15" x14ac:dyDescent="0.25">
      <c r="B11" t="s">
        <v>144</v>
      </c>
      <c r="C11">
        <v>1</v>
      </c>
      <c r="D11">
        <f>C11/3</f>
        <v>0.33333333333333331</v>
      </c>
    </row>
    <row r="12" spans="1:15" x14ac:dyDescent="0.25">
      <c r="B12" t="s">
        <v>143</v>
      </c>
      <c r="C12">
        <v>0</v>
      </c>
      <c r="D12">
        <f>C12/3</f>
        <v>0</v>
      </c>
    </row>
    <row r="13" spans="1:15" x14ac:dyDescent="0.25">
      <c r="B13" t="s">
        <v>142</v>
      </c>
      <c r="C13">
        <v>1</v>
      </c>
      <c r="D13">
        <f>C13/3</f>
        <v>0.33333333333333331</v>
      </c>
    </row>
    <row r="14" spans="1:15" x14ac:dyDescent="0.25">
      <c r="B14" t="s">
        <v>141</v>
      </c>
      <c r="C14">
        <v>0</v>
      </c>
      <c r="D14">
        <f>C14/3</f>
        <v>0</v>
      </c>
    </row>
    <row r="17" spans="1:1" x14ac:dyDescent="0.25">
      <c r="A17" t="s">
        <v>201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topLeftCell="A16" workbookViewId="0">
      <selection activeCell="A33" sqref="A33"/>
    </sheetView>
  </sheetViews>
  <sheetFormatPr defaultRowHeight="15" x14ac:dyDescent="0.25"/>
  <cols>
    <col min="2" max="2" width="10.7109375" bestFit="1" customWidth="1"/>
  </cols>
  <sheetData>
    <row r="1" spans="1:4" x14ac:dyDescent="0.25">
      <c r="A1">
        <v>20110971</v>
      </c>
      <c r="B1" s="98">
        <v>40709</v>
      </c>
      <c r="C1" t="s">
        <v>179</v>
      </c>
    </row>
    <row r="2" spans="1:4" x14ac:dyDescent="0.25">
      <c r="A2">
        <v>20111405</v>
      </c>
      <c r="B2" s="98">
        <v>40786</v>
      </c>
      <c r="C2" t="s">
        <v>179</v>
      </c>
    </row>
    <row r="3" spans="1:4" x14ac:dyDescent="0.25">
      <c r="A3">
        <v>20111498</v>
      </c>
      <c r="B3" s="98">
        <v>40801</v>
      </c>
      <c r="C3" t="s">
        <v>179</v>
      </c>
    </row>
    <row r="4" spans="1:4" x14ac:dyDescent="0.25">
      <c r="A4">
        <v>20111540</v>
      </c>
      <c r="B4" s="98">
        <v>40812</v>
      </c>
      <c r="C4" t="s">
        <v>179</v>
      </c>
      <c r="D4" t="s">
        <v>176</v>
      </c>
    </row>
    <row r="5" spans="1:4" x14ac:dyDescent="0.25">
      <c r="A5">
        <v>20112045</v>
      </c>
      <c r="B5" s="98">
        <v>40893</v>
      </c>
      <c r="C5" t="s">
        <v>175</v>
      </c>
    </row>
    <row r="6" spans="1:4" x14ac:dyDescent="0.25">
      <c r="A6">
        <v>20120075</v>
      </c>
      <c r="B6" s="98">
        <v>40917</v>
      </c>
      <c r="C6" t="s">
        <v>178</v>
      </c>
      <c r="D6" t="s">
        <v>182</v>
      </c>
    </row>
    <row r="7" spans="1:4" x14ac:dyDescent="0.25">
      <c r="A7">
        <v>20120311</v>
      </c>
      <c r="B7" s="98">
        <v>40963</v>
      </c>
      <c r="C7" t="s">
        <v>175</v>
      </c>
    </row>
    <row r="8" spans="1:4" x14ac:dyDescent="0.25">
      <c r="A8">
        <v>20120702</v>
      </c>
      <c r="B8" s="98">
        <v>41043</v>
      </c>
      <c r="C8" t="s">
        <v>178</v>
      </c>
      <c r="D8" t="s">
        <v>176</v>
      </c>
    </row>
    <row r="9" spans="1:4" x14ac:dyDescent="0.25">
      <c r="A9">
        <v>20120749</v>
      </c>
      <c r="B9" s="98">
        <v>41052</v>
      </c>
      <c r="C9" t="s">
        <v>175</v>
      </c>
    </row>
    <row r="10" spans="1:4" x14ac:dyDescent="0.25">
      <c r="A10">
        <v>20120864</v>
      </c>
      <c r="B10" s="98">
        <v>41072</v>
      </c>
      <c r="C10" t="s">
        <v>175</v>
      </c>
      <c r="D10" t="s">
        <v>177</v>
      </c>
    </row>
    <row r="11" spans="1:4" x14ac:dyDescent="0.25">
      <c r="A11">
        <v>20120960</v>
      </c>
      <c r="B11" s="98">
        <v>41079</v>
      </c>
      <c r="C11" t="s">
        <v>179</v>
      </c>
    </row>
    <row r="12" spans="1:4" x14ac:dyDescent="0.25">
      <c r="A12">
        <v>20121010</v>
      </c>
      <c r="B12" s="98">
        <v>41100</v>
      </c>
      <c r="C12" t="s">
        <v>175</v>
      </c>
    </row>
    <row r="13" spans="1:4" x14ac:dyDescent="0.25">
      <c r="A13">
        <v>20121260</v>
      </c>
      <c r="B13" s="98">
        <v>41142</v>
      </c>
      <c r="C13" t="s">
        <v>175</v>
      </c>
    </row>
    <row r="14" spans="1:4" x14ac:dyDescent="0.25">
      <c r="A14">
        <v>20121373</v>
      </c>
      <c r="B14" s="98">
        <v>41145</v>
      </c>
      <c r="C14" t="s">
        <v>181</v>
      </c>
    </row>
    <row r="15" spans="1:4" x14ac:dyDescent="0.25">
      <c r="A15">
        <v>20130715</v>
      </c>
      <c r="B15" s="98">
        <v>41390</v>
      </c>
      <c r="C15" t="s">
        <v>178</v>
      </c>
    </row>
    <row r="16" spans="1:4" x14ac:dyDescent="0.25">
      <c r="A16">
        <v>20131213</v>
      </c>
      <c r="B16" s="98">
        <v>41477</v>
      </c>
      <c r="C16" t="s">
        <v>179</v>
      </c>
    </row>
    <row r="17" spans="1:5" x14ac:dyDescent="0.25">
      <c r="A17">
        <v>20131330</v>
      </c>
      <c r="B17" s="98">
        <v>41499</v>
      </c>
      <c r="C17" t="s">
        <v>180</v>
      </c>
    </row>
    <row r="18" spans="1:5" x14ac:dyDescent="0.25">
      <c r="A18">
        <v>20131382</v>
      </c>
      <c r="B18" s="98">
        <v>41508</v>
      </c>
      <c r="C18" t="s">
        <v>179</v>
      </c>
    </row>
    <row r="19" spans="1:5" x14ac:dyDescent="0.25">
      <c r="A19">
        <v>10131523</v>
      </c>
      <c r="B19" s="98">
        <v>41533</v>
      </c>
      <c r="C19" t="s">
        <v>175</v>
      </c>
    </row>
    <row r="20" spans="1:5" x14ac:dyDescent="0.25">
      <c r="A20">
        <v>20131696</v>
      </c>
      <c r="B20" s="98">
        <v>41563</v>
      </c>
      <c r="C20" t="s">
        <v>179</v>
      </c>
    </row>
    <row r="21" spans="1:5" x14ac:dyDescent="0.25">
      <c r="A21">
        <v>20131090</v>
      </c>
      <c r="B21" s="98">
        <v>41456</v>
      </c>
      <c r="C21" t="s">
        <v>178</v>
      </c>
      <c r="D21" t="s">
        <v>177</v>
      </c>
    </row>
    <row r="22" spans="1:5" x14ac:dyDescent="0.25">
      <c r="A22">
        <v>20140083</v>
      </c>
      <c r="B22" s="98">
        <v>41652</v>
      </c>
      <c r="C22" t="s">
        <v>175</v>
      </c>
      <c r="D22" t="s">
        <v>176</v>
      </c>
    </row>
    <row r="23" spans="1:5" x14ac:dyDescent="0.25">
      <c r="A23">
        <v>20140364</v>
      </c>
      <c r="B23" s="98">
        <v>41688</v>
      </c>
      <c r="C23" t="s">
        <v>175</v>
      </c>
    </row>
    <row r="24" spans="1:5" x14ac:dyDescent="0.25">
      <c r="A24">
        <v>20140427</v>
      </c>
      <c r="B24" s="98">
        <v>41695</v>
      </c>
      <c r="C24" t="s">
        <v>175</v>
      </c>
    </row>
    <row r="26" spans="1:5" x14ac:dyDescent="0.25">
      <c r="C26" t="s">
        <v>144</v>
      </c>
      <c r="D26">
        <v>2</v>
      </c>
      <c r="E26">
        <f>D26/3</f>
        <v>0.66666666666666663</v>
      </c>
    </row>
    <row r="27" spans="1:5" x14ac:dyDescent="0.25">
      <c r="C27" t="s">
        <v>143</v>
      </c>
      <c r="D27">
        <v>3</v>
      </c>
      <c r="E27">
        <f>D27/3</f>
        <v>1</v>
      </c>
    </row>
    <row r="28" spans="1:5" x14ac:dyDescent="0.25">
      <c r="C28" t="s">
        <v>142</v>
      </c>
      <c r="D28">
        <v>1</v>
      </c>
      <c r="E28">
        <f>D28/3</f>
        <v>0.33333333333333331</v>
      </c>
    </row>
    <row r="29" spans="1:5" x14ac:dyDescent="0.25">
      <c r="C29" t="s">
        <v>141</v>
      </c>
      <c r="D29">
        <f>24-SUM(D26:D28)</f>
        <v>18</v>
      </c>
      <c r="E29">
        <f>D29/3</f>
        <v>6</v>
      </c>
    </row>
    <row r="33" spans="1:1" x14ac:dyDescent="0.25">
      <c r="A33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tabSelected="1" workbookViewId="0">
      <selection activeCell="N22" sqref="N22"/>
    </sheetView>
  </sheetViews>
  <sheetFormatPr defaultColWidth="10.42578125" defaultRowHeight="15" x14ac:dyDescent="0.25"/>
  <cols>
    <col min="1" max="1" width="26.5703125" style="77" bestFit="1" customWidth="1"/>
    <col min="2" max="3" width="9" style="77" bestFit="1" customWidth="1"/>
    <col min="4" max="4" width="20.42578125" style="77" bestFit="1" customWidth="1"/>
    <col min="5" max="5" width="6.42578125" style="77" bestFit="1" customWidth="1"/>
    <col min="6" max="6" width="10.42578125" style="77" bestFit="1" customWidth="1"/>
    <col min="7" max="7" width="14.5703125" style="77" bestFit="1" customWidth="1"/>
    <col min="8" max="9" width="13.140625" style="77" customWidth="1"/>
    <col min="10" max="10" width="21" style="77" bestFit="1" customWidth="1"/>
    <col min="11" max="16384" width="10.42578125" style="77"/>
  </cols>
  <sheetData>
    <row r="1" spans="1:9" x14ac:dyDescent="0.25">
      <c r="A1" s="158"/>
      <c r="B1" s="152" t="s">
        <v>198</v>
      </c>
      <c r="C1" s="114" t="s">
        <v>177</v>
      </c>
      <c r="D1" s="154" t="s">
        <v>197</v>
      </c>
      <c r="E1" s="114" t="s">
        <v>176</v>
      </c>
      <c r="F1" s="114" t="s">
        <v>196</v>
      </c>
      <c r="G1" s="109" t="s">
        <v>195</v>
      </c>
      <c r="H1" s="152" t="s">
        <v>194</v>
      </c>
      <c r="I1" s="156" t="s">
        <v>193</v>
      </c>
    </row>
    <row r="2" spans="1:9" ht="45.75" thickBot="1" x14ac:dyDescent="0.3">
      <c r="A2" s="159"/>
      <c r="B2" s="153"/>
      <c r="C2" s="113" t="s">
        <v>192</v>
      </c>
      <c r="D2" s="155"/>
      <c r="E2" s="113" t="s">
        <v>192</v>
      </c>
      <c r="F2" s="113" t="s">
        <v>191</v>
      </c>
      <c r="G2" s="112" t="s">
        <v>190</v>
      </c>
      <c r="H2" s="153"/>
      <c r="I2" s="157"/>
    </row>
    <row r="3" spans="1:9" x14ac:dyDescent="0.25">
      <c r="A3" s="111" t="s">
        <v>185</v>
      </c>
      <c r="B3" s="110">
        <v>23666.521021375454</v>
      </c>
      <c r="C3" s="109">
        <v>2.9051E-2</v>
      </c>
      <c r="D3" s="109" t="s">
        <v>189</v>
      </c>
      <c r="E3" s="109">
        <v>0.23</v>
      </c>
      <c r="F3" s="109">
        <v>5</v>
      </c>
      <c r="G3" s="109">
        <f>C3*E3*F3</f>
        <v>3.3408649999999998E-2</v>
      </c>
      <c r="H3" s="109"/>
      <c r="I3" s="108"/>
    </row>
    <row r="4" spans="1:9" ht="15.75" customHeight="1" thickBot="1" x14ac:dyDescent="0.3">
      <c r="A4" s="103"/>
      <c r="B4" s="102"/>
      <c r="C4" s="102"/>
      <c r="D4" s="102"/>
      <c r="E4" s="102"/>
      <c r="F4" s="102"/>
      <c r="G4" s="102"/>
      <c r="H4" s="102">
        <f>G3</f>
        <v>3.3408649999999998E-2</v>
      </c>
      <c r="I4" s="101"/>
    </row>
    <row r="5" spans="1:9" x14ac:dyDescent="0.25">
      <c r="A5" s="111" t="s">
        <v>184</v>
      </c>
      <c r="B5" s="110">
        <v>18878.312800078857</v>
      </c>
      <c r="C5" s="109">
        <v>2.1735999999999998E-2</v>
      </c>
      <c r="D5" s="109" t="s">
        <v>188</v>
      </c>
      <c r="E5" s="109">
        <v>0.08</v>
      </c>
      <c r="F5" s="109">
        <v>5</v>
      </c>
      <c r="G5" s="109">
        <f>C5*E5*F5</f>
        <v>8.6943999999999997E-3</v>
      </c>
      <c r="H5" s="109"/>
      <c r="I5" s="108"/>
    </row>
    <row r="6" spans="1:9" x14ac:dyDescent="0.25">
      <c r="A6" s="107" t="s">
        <v>183</v>
      </c>
      <c r="B6" s="106">
        <v>17100.434038369302</v>
      </c>
      <c r="C6" s="105">
        <v>2.1735999999999998E-2</v>
      </c>
      <c r="D6" s="105" t="s">
        <v>188</v>
      </c>
      <c r="E6" s="105">
        <v>0.08</v>
      </c>
      <c r="F6" s="105">
        <v>5</v>
      </c>
      <c r="G6" s="105">
        <f>C6*E6*F6</f>
        <v>8.6943999999999997E-3</v>
      </c>
      <c r="H6" s="105"/>
      <c r="I6" s="104"/>
    </row>
    <row r="7" spans="1:9" ht="15.75" thickBot="1" x14ac:dyDescent="0.3">
      <c r="A7" s="103"/>
      <c r="B7" s="102"/>
      <c r="C7" s="102"/>
      <c r="D7" s="102"/>
      <c r="E7" s="102"/>
      <c r="F7" s="102"/>
      <c r="G7" s="102"/>
      <c r="H7" s="102">
        <f>SUM(G5:G6)</f>
        <v>1.7388799999999999E-2</v>
      </c>
      <c r="I7" s="101"/>
    </row>
    <row r="8" spans="1:9" ht="15.75" thickBot="1" x14ac:dyDescent="0.3">
      <c r="A8" s="103"/>
      <c r="B8" s="102"/>
      <c r="C8" s="102"/>
      <c r="D8" s="102"/>
      <c r="E8" s="102"/>
      <c r="F8" s="102"/>
      <c r="G8" s="102"/>
      <c r="H8" s="102"/>
      <c r="I8" s="101">
        <f>G3-H7</f>
        <v>1.6019849999999999E-2</v>
      </c>
    </row>
    <row r="9" spans="1:9" x14ac:dyDescent="0.25">
      <c r="E9" s="100"/>
    </row>
    <row r="13" spans="1:9" x14ac:dyDescent="0.25">
      <c r="C13" s="100">
        <v>0.03</v>
      </c>
    </row>
    <row r="14" spans="1:9" x14ac:dyDescent="0.25">
      <c r="B14" s="77" t="s">
        <v>187</v>
      </c>
      <c r="C14" s="77" t="s">
        <v>186</v>
      </c>
    </row>
    <row r="15" spans="1:9" x14ac:dyDescent="0.25">
      <c r="A15" s="77" t="s">
        <v>185</v>
      </c>
      <c r="B15" s="77">
        <v>32760</v>
      </c>
      <c r="C15" s="99">
        <f>B15*(1+$C$13)^-11</f>
        <v>23666.521021375454</v>
      </c>
    </row>
    <row r="17" spans="1:3" x14ac:dyDescent="0.25">
      <c r="A17" s="77" t="s">
        <v>184</v>
      </c>
      <c r="B17" s="77">
        <v>26132</v>
      </c>
      <c r="C17" s="99">
        <f>B17*(1+$C$13)^-11</f>
        <v>18878.312800078857</v>
      </c>
    </row>
    <row r="18" spans="1:3" x14ac:dyDescent="0.25">
      <c r="A18" s="77" t="s">
        <v>183</v>
      </c>
      <c r="B18" s="77">
        <v>23671</v>
      </c>
      <c r="C18" s="99">
        <f>B18*(1+$C$13)^-11</f>
        <v>17100.434038369302</v>
      </c>
    </row>
  </sheetData>
  <mergeCells count="5">
    <mergeCell ref="B1:B2"/>
    <mergeCell ref="D1:D2"/>
    <mergeCell ref="H1:H2"/>
    <mergeCell ref="I1:I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Discounted BC (20)</vt:lpstr>
      <vt:lpstr>Delay&amp;Pollution</vt:lpstr>
      <vt:lpstr>Safety</vt:lpstr>
      <vt:lpstr>Maintenance</vt:lpstr>
      <vt:lpstr>Road Summary</vt:lpstr>
      <vt:lpstr>Intersection - Bunn</vt:lpstr>
      <vt:lpstr>Roadway Segment</vt:lpstr>
      <vt:lpstr>Intersection - Morrisey</vt:lpstr>
      <vt:lpstr>Rail Crossings</vt:lpstr>
    </vt:vector>
  </TitlesOfParts>
  <Company>Hanson Professional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Becca Wagner</dc:creator>
  <cp:lastModifiedBy>Steve Law</cp:lastModifiedBy>
  <cp:lastPrinted>2019-07-12T12:34:57Z</cp:lastPrinted>
  <dcterms:created xsi:type="dcterms:W3CDTF">2016-11-22T19:20:05Z</dcterms:created>
  <dcterms:modified xsi:type="dcterms:W3CDTF">2021-07-12T14:45:07Z</dcterms:modified>
</cp:coreProperties>
</file>